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BlnSht" sheetId="1" r:id="rId1"/>
    <sheet name="YSt" sheetId="2" r:id="rId2"/>
    <sheet name="StEq " sheetId="3" r:id="rId3"/>
    <sheet name="CFlow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s">$A$1:$A$1,$A$1:$A$1</definedName>
    <definedName name="assho..">$A$1:$A$1,$A$1:$A$1</definedName>
    <definedName name="_xlnm.Print_Area" localSheetId="0">'BlnSht'!$A$1:$G$67</definedName>
    <definedName name="_xlnm.Print_Area" localSheetId="3">'CFlow'!$A$1:$G$70</definedName>
    <definedName name="_xlnm.Print_Area" localSheetId="2">'StEq '!$A$1:$K$30</definedName>
    <definedName name="_xlnm.Print_Area" localSheetId="1">'YSt'!$A$1:$M$44</definedName>
    <definedName name="Print_Area_MI">#REF!</definedName>
    <definedName name="_xlnm.Print_Titles">$A$1:$A$1,$A$1:$A$1</definedName>
  </definedNames>
  <calcPr fullCalcOnLoad="1"/>
</workbook>
</file>

<file path=xl/comments2.xml><?xml version="1.0" encoding="utf-8"?>
<comments xmlns="http://schemas.openxmlformats.org/spreadsheetml/2006/main">
  <authors>
    <author>hariati</author>
  </authors>
  <commentList>
    <comment ref="L10" authorId="0">
      <text>
        <r>
          <rPr>
            <b/>
            <sz val="8"/>
            <rFont val="Tahoma"/>
            <family val="0"/>
          </rPr>
          <t>hariati:</t>
        </r>
        <r>
          <rPr>
            <sz val="8"/>
            <rFont val="Tahoma"/>
            <family val="0"/>
          </rPr>
          <t xml:space="preserve">
diff bw audited &amp; announcem adj agst oper exp
</t>
        </r>
      </text>
    </comment>
  </commentList>
</comments>
</file>

<file path=xl/sharedStrings.xml><?xml version="1.0" encoding="utf-8"?>
<sst xmlns="http://schemas.openxmlformats.org/spreadsheetml/2006/main" count="216" uniqueCount="179">
  <si>
    <t>HEITECH PADU BERHAD</t>
  </si>
  <si>
    <t xml:space="preserve">CONDENSED CONSOLIDATED BALANCE SHEET </t>
  </si>
  <si>
    <t>AS AT 31 MARCH 2006</t>
  </si>
  <si>
    <t>Unaudited</t>
  </si>
  <si>
    <t>Audited</t>
  </si>
  <si>
    <t>AUDITED</t>
  </si>
  <si>
    <t>As at 31 Mar</t>
  </si>
  <si>
    <t>As at 31 Dec</t>
  </si>
  <si>
    <t>31.12.2001</t>
  </si>
  <si>
    <t>RM</t>
  </si>
  <si>
    <t>NON-CURRENT ASSETS</t>
  </si>
  <si>
    <t>Property, plant &amp; equipment</t>
  </si>
  <si>
    <t>Goodwill on consolidation</t>
  </si>
  <si>
    <t>Deferred expenditure</t>
  </si>
  <si>
    <t>Investment in associate companies</t>
  </si>
  <si>
    <t>Other investment</t>
  </si>
  <si>
    <t>TOTAL NON-CURRENT ASSETS</t>
  </si>
  <si>
    <t>CURRENT ASSETS</t>
  </si>
  <si>
    <t>Inventories</t>
  </si>
  <si>
    <t>Short term investment in quoted shares</t>
  </si>
  <si>
    <t>Other debtors &amp; prepayments</t>
  </si>
  <si>
    <t>Tax recoverable</t>
  </si>
  <si>
    <t>Trade debtors</t>
  </si>
  <si>
    <t>Due from customers</t>
  </si>
  <si>
    <t>Fixed deposits</t>
  </si>
  <si>
    <t>Cash &amp; bank balances</t>
  </si>
  <si>
    <t>Development expenditure</t>
  </si>
  <si>
    <t>Inventory &amp; Work in progress</t>
  </si>
  <si>
    <t>Due from holding company</t>
  </si>
  <si>
    <t>Due from fellow subsidiaries</t>
  </si>
  <si>
    <t>Due from associated company</t>
  </si>
  <si>
    <t>-</t>
  </si>
  <si>
    <t xml:space="preserve"> </t>
  </si>
  <si>
    <t>TOTAL CURRENT ASSETS</t>
  </si>
  <si>
    <t>CURRENT LIABILITIES</t>
  </si>
  <si>
    <t>Trade creditors</t>
  </si>
  <si>
    <t>Other creditors &amp; accruals</t>
  </si>
  <si>
    <t>Overdrafts</t>
  </si>
  <si>
    <t>Short term borrowings</t>
  </si>
  <si>
    <t>Hire Purchase Creditors</t>
  </si>
  <si>
    <t>Taxation</t>
  </si>
  <si>
    <t>TOTAL CURRENT LIABILITIES</t>
  </si>
  <si>
    <t>NET CURRENT ASSETS</t>
  </si>
  <si>
    <t>FINANCED BY:</t>
  </si>
  <si>
    <t>Share capital</t>
  </si>
  <si>
    <t>Share Premium</t>
  </si>
  <si>
    <t>Share Option Reserve</t>
  </si>
  <si>
    <t xml:space="preserve">Retained profits </t>
  </si>
  <si>
    <t>Shareholders' equity</t>
  </si>
  <si>
    <t>Reserve arising from consolidation</t>
  </si>
  <si>
    <t>Minority interests</t>
  </si>
  <si>
    <t>Shareholders' Funds</t>
  </si>
  <si>
    <t>Long Term Liabilities</t>
  </si>
  <si>
    <t>Long Term Loan</t>
  </si>
  <si>
    <t>Deferred Taxation</t>
  </si>
  <si>
    <t>Non-current liabilities</t>
  </si>
  <si>
    <t>NTA=</t>
  </si>
  <si>
    <t xml:space="preserve"> net asset </t>
  </si>
  <si>
    <t>less</t>
  </si>
  <si>
    <t xml:space="preserve"> intangible asset (Deffered exp+goodwill+reserves fr consol+MI)</t>
  </si>
  <si>
    <t xml:space="preserve">Net Asset per share </t>
  </si>
  <si>
    <t>CONDENSED CONSOLIDATED INCOME STATEMENT</t>
  </si>
  <si>
    <t>FOR THE QUARTER ENDED 31 MARCH 2006</t>
  </si>
  <si>
    <t>to hide</t>
  </si>
  <si>
    <t>Current quarter ended 31 March</t>
  </si>
  <si>
    <t>Comparative quarter ended 31 March</t>
  </si>
  <si>
    <t>3 months cummulative</t>
  </si>
  <si>
    <t>3 months cumulative to date</t>
  </si>
  <si>
    <t xml:space="preserve">Revenue </t>
  </si>
  <si>
    <t>Other Operating Income</t>
  </si>
  <si>
    <t>Total Operating Income</t>
  </si>
  <si>
    <t>Staff Costs</t>
  </si>
  <si>
    <t>Purchase of Hardware and Software</t>
  </si>
  <si>
    <t>Leaseline Rental</t>
  </si>
  <si>
    <t>Other Lease Expense</t>
  </si>
  <si>
    <t>Voluntary Separation Scheme</t>
  </si>
  <si>
    <t xml:space="preserve">Depreciation </t>
  </si>
  <si>
    <t>Amortisation</t>
  </si>
  <si>
    <t>Bulk mailing operating costs</t>
  </si>
  <si>
    <t>Other Operating Expenses</t>
  </si>
  <si>
    <t>Total Operating Expenditure</t>
  </si>
  <si>
    <t>Profit From Operations</t>
  </si>
  <si>
    <t>Finance Costs</t>
  </si>
  <si>
    <t>Share of Results of Associated Companies</t>
  </si>
  <si>
    <t>Investing Result</t>
  </si>
  <si>
    <t>Profit Before Taxation</t>
  </si>
  <si>
    <t>Profit After Taxation</t>
  </si>
  <si>
    <t>Attributable to:</t>
  </si>
  <si>
    <t>Equity holders of the Company</t>
  </si>
  <si>
    <t>Minority Interest</t>
  </si>
  <si>
    <t>Net Profit Attributable to Shareholders</t>
  </si>
  <si>
    <t>Number of Ordinary Shares of RM1.00 each</t>
  </si>
  <si>
    <t xml:space="preserve">Earning per share attributable to equity holders </t>
  </si>
  <si>
    <t>of the parent:</t>
  </si>
  <si>
    <t>Basic for profit for the period</t>
  </si>
  <si>
    <t>CONDENSED CONSOLIDATED STATEMENT OF CHANGES IN EQUITY</t>
  </si>
  <si>
    <t>Non- distributable</t>
  </si>
  <si>
    <t>Distributable</t>
  </si>
  <si>
    <t>For the period ended 31 March 2006</t>
  </si>
  <si>
    <t>Share premium</t>
  </si>
  <si>
    <t>Share Option reserves</t>
  </si>
  <si>
    <t>Retained profits</t>
  </si>
  <si>
    <t>Total</t>
  </si>
  <si>
    <t>At 1 January 2006</t>
  </si>
  <si>
    <t>Effects of adopting:</t>
  </si>
  <si>
    <t>FRS 3</t>
  </si>
  <si>
    <t>Issued during the period</t>
  </si>
  <si>
    <t>Share option issued during the year</t>
  </si>
  <si>
    <t>Additional acquisition of shares in a subsidiaries</t>
  </si>
  <si>
    <t>Net profit for the period</t>
  </si>
  <si>
    <t>Bonus Issue</t>
  </si>
  <si>
    <t>Dividends</t>
  </si>
  <si>
    <t>At 31  March 2006</t>
  </si>
  <si>
    <t>For the period ended 31 March 2005</t>
  </si>
  <si>
    <t>At 1 January 2005</t>
  </si>
  <si>
    <t>Acretion arising from issuance</t>
  </si>
  <si>
    <t>At 31  March 2005</t>
  </si>
  <si>
    <t>CONDENSED CASHFLOW FOR THE QUARTER ENDED 31 MARCH 2006</t>
  </si>
  <si>
    <t>Company</t>
  </si>
  <si>
    <t>Year ended 31 Dec</t>
  </si>
  <si>
    <t>Period ended 31 Mar</t>
  </si>
  <si>
    <t xml:space="preserve">Year ended 31 December </t>
  </si>
  <si>
    <t>Period ended 31 March</t>
  </si>
  <si>
    <t>CASHFLOW FROM OPERATING ACTIVITIES</t>
  </si>
  <si>
    <t>Profit before taxation</t>
  </si>
  <si>
    <t>Adjustment for:</t>
  </si>
  <si>
    <t>Depreciation</t>
  </si>
  <si>
    <t>Interest expense</t>
  </si>
  <si>
    <t xml:space="preserve">Writeback of provision for diminution </t>
  </si>
  <si>
    <t>Provision for doubtful debt</t>
  </si>
  <si>
    <t>Writeback of doubtful debt</t>
  </si>
  <si>
    <t>Dilution arising from issuance of shares in subsidiary</t>
  </si>
  <si>
    <t>Dilution arising from acquision of shares from Miinority Interst</t>
  </si>
  <si>
    <t>ESOS Reserve</t>
  </si>
  <si>
    <t>Fixed assets written off</t>
  </si>
  <si>
    <t>Amortisation of deferred expenditure/ intangibles</t>
  </si>
  <si>
    <t>Deferred expenditure write off</t>
  </si>
  <si>
    <t>Share of loss from associated companies</t>
  </si>
  <si>
    <t>Provision of diminution in value of investment</t>
  </si>
  <si>
    <t>Gain  on disposal of investments</t>
  </si>
  <si>
    <t>(Gain)/loss  on disposal of investments</t>
  </si>
  <si>
    <t>(Gain)/loss on disposal of fixed assets</t>
  </si>
  <si>
    <t>Dividend income</t>
  </si>
  <si>
    <t>Interest income</t>
  </si>
  <si>
    <t>Operating profit before working capital changes</t>
  </si>
  <si>
    <t>Increase in inventories</t>
  </si>
  <si>
    <t>Increase in intangibles</t>
  </si>
  <si>
    <t>Decrease in amount due to related companies</t>
  </si>
  <si>
    <t>Cash generated from operations</t>
  </si>
  <si>
    <t>Interest paid</t>
  </si>
  <si>
    <t>Taxation paid</t>
  </si>
  <si>
    <t>Net cash generated from operating activities</t>
  </si>
  <si>
    <t>CASHFLOW FROM INVESTING ACTIVITIES</t>
  </si>
  <si>
    <t xml:space="preserve">Acquisition from subsidiaries </t>
  </si>
  <si>
    <t>Interest received</t>
  </si>
  <si>
    <t>Dividend received</t>
  </si>
  <si>
    <t>Proceeds from disposal of investment</t>
  </si>
  <si>
    <t xml:space="preserve">Proceeds from disposal of fixed assets </t>
  </si>
  <si>
    <t>Purchase of investments</t>
  </si>
  <si>
    <t>Property under development</t>
  </si>
  <si>
    <t>Purchase of fixed assets</t>
  </si>
  <si>
    <t>Net cash used in investing activities</t>
  </si>
  <si>
    <t>CASHFLOW FROM FINANCING ACTIVITIES</t>
  </si>
  <si>
    <t>Proceeds from issuance of shares to minority sharholder in a subsidiary</t>
  </si>
  <si>
    <t>Drawdown from term loan</t>
  </si>
  <si>
    <t>Dividend paid</t>
  </si>
  <si>
    <t>Dividend paid to minority shareholder of a subsidiary</t>
  </si>
  <si>
    <t>Repayment of term loan</t>
  </si>
  <si>
    <t>Net cash used in financing activities</t>
  </si>
  <si>
    <t>NET INCREASE IN CASH &amp; CASH EQUIVALENT</t>
  </si>
  <si>
    <t>CASH AND CASH EQUIVALENTS AT BEGINNING OF THE YEAR</t>
  </si>
  <si>
    <t>CASH AND CASH EQUIVALENTS AT END OF PERIOD</t>
  </si>
  <si>
    <t>CASH &amp; CASH EQUIVALENT COMPRISE:</t>
  </si>
  <si>
    <t>Cash at bank</t>
  </si>
  <si>
    <t>Fixed deposits at licensed banks</t>
  </si>
  <si>
    <t>NBV</t>
  </si>
  <si>
    <t>(Increase)/decrease in receivables</t>
  </si>
  <si>
    <t>Increase in due to/from customers</t>
  </si>
  <si>
    <t>Decrease in creditors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</si>
</sst>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* #,##0_);_(* \(#,##0\);_(* &quot;-&quot;??_);_(@_)"/>
    <numFmt numFmtId="169" formatCode="0.0%"/>
    <numFmt numFmtId="170" formatCode="#,##0.000_);[Red]\(#,##0.000\)"/>
    <numFmt numFmtId="171" formatCode="_-* #,##0_-;\-* #,##0_-;_-* &quot;-&quot;??_-;_-@_-"/>
    <numFmt numFmtId="172" formatCode="0.00_)"/>
    <numFmt numFmtId="173" formatCode="0.000%"/>
    <numFmt numFmtId="174" formatCode="mmmm\ d\,\ yyyy"/>
    <numFmt numFmtId="175" formatCode="0.00%;\(0.00\)%"/>
    <numFmt numFmtId="176" formatCode="_(* #,##0.0_);_(* \(#,##0.0\);_(* &quot;-&quot;??_);_(@_)"/>
    <numFmt numFmtId="177" formatCode="_(* #,##0.00_);_(* \(#,##0.00\);_(* &quot;-&quot;_);_(@_)"/>
    <numFmt numFmtId="178" formatCode="_(* #,##0.000_);_(* \(#,##0.000\);_(* &quot;-&quot;??_);_(@_)"/>
    <numFmt numFmtId="179" formatCode="_(* #,##0.000000_);_(* \(#,##0.000000\);_(* &quot;-&quot;??_);_(@_)"/>
    <numFmt numFmtId="180" formatCode="_(* #,##0.0_);_(* \(#,##0.0\);_(* &quot;-&quot;?_);_(@_)"/>
    <numFmt numFmtId="181" formatCode="#,##0.000_);\(#,##0.000\)"/>
    <numFmt numFmtId="182" formatCode="_(* #,##0.000_);_(* \(#,##0.000\);_(* &quot;-&quot;???_);_(@_)"/>
    <numFmt numFmtId="183" formatCode="_(* #,##0.0_);_(* \(#,##0.0\);_(* &quot;-&quot;_);_(@_)"/>
    <numFmt numFmtId="184" formatCode="0.0"/>
    <numFmt numFmtId="185" formatCode="0_);\(0\)"/>
    <numFmt numFmtId="186" formatCode="#,##0;[Red]\-#,##0"/>
    <numFmt numFmtId="187" formatCode="#,##0.00;[Red]\-#,##0.00"/>
    <numFmt numFmtId="188" formatCode="_(* #,##0.0000000_);_(* \(#,##0.0000000\);_(* &quot;-&quot;???????_);_(@_)"/>
    <numFmt numFmtId="189" formatCode="#,##0.00000000_);\(#,##0.00000000\)"/>
  </numFmts>
  <fonts count="24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10"/>
      <name val="Helv"/>
      <family val="2"/>
    </font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b/>
      <sz val="11"/>
      <color indexed="10"/>
      <name val="Book Antiqua"/>
      <family val="1"/>
    </font>
    <font>
      <sz val="11"/>
      <color indexed="10"/>
      <name val="Book Antiqua"/>
      <family val="1"/>
    </font>
    <font>
      <u val="single"/>
      <sz val="11"/>
      <name val="Book Antiqua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Book Antiqua"/>
      <family val="1"/>
    </font>
    <font>
      <sz val="10"/>
      <name val="Book Antiqua"/>
      <family val="1"/>
    </font>
    <font>
      <sz val="10"/>
      <color indexed="10"/>
      <name val="Book Antiqua"/>
      <family val="1"/>
    </font>
    <font>
      <b/>
      <sz val="8"/>
      <name val="Book Antiqu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5" fillId="0" borderId="0">
      <alignment/>
      <protection locked="0"/>
    </xf>
    <xf numFmtId="170" fontId="6" fillId="0" borderId="0">
      <alignment/>
      <protection locked="0"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173" fontId="6" fillId="0" borderId="0">
      <alignment/>
      <protection locked="0"/>
    </xf>
    <xf numFmtId="173" fontId="6" fillId="0" borderId="0">
      <alignment/>
      <protection locked="0"/>
    </xf>
    <xf numFmtId="0" fontId="9" fillId="0" borderId="0" applyNumberFormat="0" applyFill="0" applyBorder="0" applyAlignment="0" applyProtection="0"/>
    <xf numFmtId="10" fontId="8" fillId="3" borderId="1" applyNumberFormat="0" applyBorder="0" applyAlignment="0" applyProtection="0"/>
    <xf numFmtId="172" fontId="10" fillId="0" borderId="0">
      <alignment/>
      <protection/>
    </xf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6" fillId="0" borderId="2">
      <alignment/>
      <protection locked="0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168" fontId="1" fillId="0" borderId="0" xfId="16" applyNumberFormat="1" applyFont="1" applyBorder="1" applyAlignment="1">
      <alignment horizontal="left"/>
    </xf>
    <xf numFmtId="168" fontId="1" fillId="0" borderId="0" xfId="16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68" fontId="0" fillId="0" borderId="0" xfId="16" applyNumberFormat="1" applyFont="1" applyAlignment="1">
      <alignment/>
    </xf>
    <xf numFmtId="9" fontId="0" fillId="0" borderId="0" xfId="30" applyFont="1" applyAlignment="1">
      <alignment/>
    </xf>
    <xf numFmtId="168" fontId="1" fillId="0" borderId="0" xfId="16" applyNumberFormat="1" applyFont="1" applyBorder="1" applyAlignment="1" quotePrefix="1">
      <alignment horizontal="left"/>
    </xf>
    <xf numFmtId="168" fontId="11" fillId="0" borderId="0" xfId="16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168" fontId="1" fillId="0" borderId="0" xfId="16" applyNumberFormat="1" applyFont="1" applyAlignment="1">
      <alignment horizontal="center"/>
    </xf>
    <xf numFmtId="168" fontId="1" fillId="0" borderId="0" xfId="16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8" fontId="0" fillId="0" borderId="0" xfId="16" applyNumberFormat="1" applyFont="1" applyAlignment="1">
      <alignment horizontal="right"/>
    </xf>
    <xf numFmtId="1" fontId="1" fillId="0" borderId="0" xfId="16" applyNumberFormat="1" applyFont="1" applyAlignment="1">
      <alignment horizontal="center"/>
    </xf>
    <xf numFmtId="1" fontId="0" fillId="0" borderId="0" xfId="16" applyNumberFormat="1" applyFont="1" applyAlignment="1">
      <alignment horizontal="center"/>
    </xf>
    <xf numFmtId="1" fontId="1" fillId="0" borderId="0" xfId="16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9" fontId="0" fillId="0" borderId="0" xfId="30" applyFont="1" applyAlignment="1">
      <alignment horizontal="left"/>
    </xf>
    <xf numFmtId="15" fontId="1" fillId="0" borderId="3" xfId="0" applyNumberFormat="1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 wrapText="1"/>
    </xf>
    <xf numFmtId="15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1" fontId="1" fillId="0" borderId="3" xfId="3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right"/>
    </xf>
    <xf numFmtId="9" fontId="1" fillId="0" borderId="0" xfId="30" applyFont="1" applyAlignment="1">
      <alignment horizontal="center"/>
    </xf>
    <xf numFmtId="9" fontId="1" fillId="0" borderId="0" xfId="30" applyFont="1" applyAlignment="1">
      <alignment horizontal="left"/>
    </xf>
    <xf numFmtId="9" fontId="1" fillId="0" borderId="0" xfId="3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0" fillId="0" borderId="0" xfId="30" applyFont="1" applyAlignment="1">
      <alignment horizontal="center"/>
    </xf>
    <xf numFmtId="9" fontId="0" fillId="0" borderId="0" xfId="30" applyFont="1" applyFill="1" applyAlignment="1">
      <alignment horizontal="left"/>
    </xf>
    <xf numFmtId="168" fontId="0" fillId="0" borderId="0" xfId="16" applyNumberFormat="1" applyFont="1" applyAlignment="1">
      <alignment horizontal="center"/>
    </xf>
    <xf numFmtId="168" fontId="0" fillId="0" borderId="0" xfId="16" applyNumberFormat="1" applyFont="1" applyAlignment="1">
      <alignment horizontal="left"/>
    </xf>
    <xf numFmtId="168" fontId="0" fillId="0" borderId="0" xfId="16" applyNumberFormat="1" applyFont="1" applyFill="1" applyAlignment="1">
      <alignment/>
    </xf>
    <xf numFmtId="3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8" fontId="0" fillId="0" borderId="0" xfId="16" applyNumberFormat="1" applyFont="1" applyFill="1" applyAlignment="1">
      <alignment horizontal="left"/>
    </xf>
    <xf numFmtId="168" fontId="0" fillId="0" borderId="4" xfId="30" applyNumberFormat="1" applyFont="1" applyBorder="1" applyAlignment="1">
      <alignment horizontal="center"/>
    </xf>
    <xf numFmtId="168" fontId="0" fillId="0" borderId="0" xfId="30" applyNumberFormat="1" applyFont="1" applyAlignment="1">
      <alignment horizontal="left"/>
    </xf>
    <xf numFmtId="168" fontId="0" fillId="0" borderId="0" xfId="30" applyNumberFormat="1" applyFont="1" applyBorder="1" applyAlignment="1">
      <alignment horizontal="center"/>
    </xf>
    <xf numFmtId="168" fontId="0" fillId="0" borderId="4" xfId="30" applyNumberFormat="1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30" applyNumberFormat="1" applyFont="1" applyAlignment="1">
      <alignment horizontal="center"/>
    </xf>
    <xf numFmtId="168" fontId="1" fillId="0" borderId="0" xfId="16" applyNumberFormat="1" applyFont="1" applyAlignment="1">
      <alignment horizontal="left"/>
    </xf>
    <xf numFmtId="0" fontId="0" fillId="0" borderId="0" xfId="0" applyFont="1" applyFill="1" applyAlignment="1">
      <alignment/>
    </xf>
    <xf numFmtId="168" fontId="0" fillId="0" borderId="0" xfId="16" applyNumberFormat="1" applyFont="1" applyAlignment="1" quotePrefix="1">
      <alignment horizontal="left"/>
    </xf>
    <xf numFmtId="168" fontId="0" fillId="0" borderId="0" xfId="16" applyNumberFormat="1" applyFont="1" applyFill="1" applyAlignment="1" quotePrefix="1">
      <alignment horizontal="left"/>
    </xf>
    <xf numFmtId="37" fontId="0" fillId="0" borderId="0" xfId="0" applyNumberFormat="1" applyFont="1" applyAlignment="1">
      <alignment horizontal="center"/>
    </xf>
    <xf numFmtId="168" fontId="0" fillId="0" borderId="4" xfId="0" applyNumberFormat="1" applyFont="1" applyBorder="1" applyAlignment="1">
      <alignment/>
    </xf>
    <xf numFmtId="37" fontId="0" fillId="0" borderId="4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8" fontId="0" fillId="0" borderId="4" xfId="0" applyNumberFormat="1" applyFont="1" applyFill="1" applyBorder="1" applyAlignment="1">
      <alignment/>
    </xf>
    <xf numFmtId="37" fontId="0" fillId="0" borderId="4" xfId="0" applyNumberFormat="1" applyFont="1" applyBorder="1" applyAlignment="1">
      <alignment/>
    </xf>
    <xf numFmtId="43" fontId="0" fillId="0" borderId="0" xfId="16" applyFont="1" applyAlignment="1">
      <alignment/>
    </xf>
    <xf numFmtId="37" fontId="0" fillId="0" borderId="0" xfId="0" applyNumberFormat="1" applyFont="1" applyBorder="1" applyAlignment="1">
      <alignment/>
    </xf>
    <xf numFmtId="10" fontId="0" fillId="0" borderId="0" xfId="30" applyNumberFormat="1" applyFont="1" applyAlignment="1">
      <alignment/>
    </xf>
    <xf numFmtId="168" fontId="1" fillId="0" borderId="4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4" xfId="0" applyNumberFormat="1" applyFont="1" applyFill="1" applyBorder="1" applyAlignment="1">
      <alignment/>
    </xf>
    <xf numFmtId="168" fontId="1" fillId="0" borderId="0" xfId="16" applyNumberFormat="1" applyFont="1" applyAlignment="1">
      <alignment/>
    </xf>
    <xf numFmtId="43" fontId="0" fillId="0" borderId="0" xfId="0" applyNumberFormat="1" applyFont="1" applyAlignment="1">
      <alignment/>
    </xf>
    <xf numFmtId="168" fontId="0" fillId="0" borderId="0" xfId="16" applyNumberFormat="1" applyFont="1" applyAlignment="1">
      <alignment horizontal="left" indent="1"/>
    </xf>
    <xf numFmtId="168" fontId="0" fillId="0" borderId="3" xfId="16" applyNumberFormat="1" applyFont="1" applyFill="1" applyBorder="1" applyAlignment="1">
      <alignment/>
    </xf>
    <xf numFmtId="168" fontId="0" fillId="0" borderId="3" xfId="16" applyNumberFormat="1" applyFont="1" applyBorder="1" applyAlignment="1">
      <alignment/>
    </xf>
    <xf numFmtId="168" fontId="0" fillId="0" borderId="0" xfId="16" applyNumberFormat="1" applyFont="1" applyBorder="1" applyAlignment="1">
      <alignment/>
    </xf>
    <xf numFmtId="37" fontId="0" fillId="0" borderId="3" xfId="0" applyNumberFormat="1" applyFont="1" applyBorder="1" applyAlignment="1">
      <alignment/>
    </xf>
    <xf numFmtId="168" fontId="0" fillId="0" borderId="0" xfId="16" applyNumberFormat="1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168" fontId="13" fillId="0" borderId="0" xfId="16" applyNumberFormat="1" applyFont="1" applyAlignment="1">
      <alignment/>
    </xf>
    <xf numFmtId="0" fontId="0" fillId="0" borderId="0" xfId="0" applyFont="1" applyAlignment="1">
      <alignment horizontal="left" indent="1"/>
    </xf>
    <xf numFmtId="168" fontId="1" fillId="0" borderId="2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168" fontId="1" fillId="0" borderId="2" xfId="0" applyNumberFormat="1" applyFont="1" applyFill="1" applyBorder="1" applyAlignment="1">
      <alignment/>
    </xf>
    <xf numFmtId="37" fontId="0" fillId="0" borderId="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3" fontId="0" fillId="0" borderId="0" xfId="16" applyFont="1" applyFill="1" applyAlignment="1">
      <alignment/>
    </xf>
    <xf numFmtId="39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168" fontId="12" fillId="0" borderId="0" xfId="0" applyNumberFormat="1" applyFont="1" applyAlignment="1">
      <alignment/>
    </xf>
    <xf numFmtId="168" fontId="0" fillId="0" borderId="0" xfId="0" applyNumberFormat="1" applyFont="1" applyFill="1" applyAlignment="1">
      <alignment/>
    </xf>
    <xf numFmtId="168" fontId="0" fillId="0" borderId="0" xfId="30" applyNumberFormat="1" applyFont="1" applyAlignment="1">
      <alignment/>
    </xf>
    <xf numFmtId="9" fontId="0" fillId="0" borderId="0" xfId="30" applyFont="1" applyFill="1" applyAlignment="1">
      <alignment/>
    </xf>
    <xf numFmtId="168" fontId="14" fillId="0" borderId="0" xfId="16" applyNumberFormat="1" applyFont="1" applyAlignment="1">
      <alignment horizontal="left"/>
    </xf>
    <xf numFmtId="0" fontId="15" fillId="0" borderId="0" xfId="0" applyFont="1" applyAlignment="1">
      <alignment/>
    </xf>
    <xf numFmtId="168" fontId="15" fillId="0" borderId="0" xfId="16" applyNumberFormat="1" applyFont="1" applyAlignment="1">
      <alignment/>
    </xf>
    <xf numFmtId="168" fontId="14" fillId="0" borderId="0" xfId="16" applyNumberFormat="1" applyFont="1" applyAlignment="1" quotePrefix="1">
      <alignment horizontal="left"/>
    </xf>
    <xf numFmtId="168" fontId="16" fillId="0" borderId="0" xfId="16" applyNumberFormat="1" applyFont="1" applyAlignment="1">
      <alignment/>
    </xf>
    <xf numFmtId="168" fontId="15" fillId="4" borderId="0" xfId="16" applyNumberFormat="1" applyFont="1" applyFill="1" applyAlignment="1">
      <alignment/>
    </xf>
    <xf numFmtId="168" fontId="17" fillId="0" borderId="0" xfId="16" applyNumberFormat="1" applyFont="1" applyAlignment="1">
      <alignment/>
    </xf>
    <xf numFmtId="0" fontId="14" fillId="0" borderId="0" xfId="0" applyFont="1" applyAlignment="1">
      <alignment/>
    </xf>
    <xf numFmtId="9" fontId="15" fillId="0" borderId="0" xfId="30" applyFont="1" applyBorder="1" applyAlignment="1">
      <alignment/>
    </xf>
    <xf numFmtId="1" fontId="14" fillId="0" borderId="0" xfId="30" applyNumberFormat="1" applyFont="1" applyBorder="1" applyAlignment="1">
      <alignment horizontal="center"/>
    </xf>
    <xf numFmtId="1" fontId="15" fillId="0" borderId="0" xfId="30" applyNumberFormat="1" applyFont="1" applyBorder="1" applyAlignment="1">
      <alignment horizontal="center"/>
    </xf>
    <xf numFmtId="1" fontId="14" fillId="4" borderId="0" xfId="30" applyNumberFormat="1" applyFont="1" applyFill="1" applyBorder="1" applyAlignment="1">
      <alignment horizontal="center"/>
    </xf>
    <xf numFmtId="1" fontId="15" fillId="4" borderId="0" xfId="30" applyNumberFormat="1" applyFont="1" applyFill="1" applyBorder="1" applyAlignment="1">
      <alignment horizontal="center"/>
    </xf>
    <xf numFmtId="1" fontId="15" fillId="0" borderId="0" xfId="0" applyNumberFormat="1" applyFont="1" applyAlignment="1">
      <alignment/>
    </xf>
    <xf numFmtId="168" fontId="15" fillId="0" borderId="0" xfId="16" applyNumberFormat="1" applyFont="1" applyBorder="1" applyAlignment="1">
      <alignment/>
    </xf>
    <xf numFmtId="168" fontId="14" fillId="0" borderId="3" xfId="16" applyNumberFormat="1" applyFont="1" applyBorder="1" applyAlignment="1">
      <alignment horizontal="center" wrapText="1"/>
    </xf>
    <xf numFmtId="168" fontId="15" fillId="0" borderId="0" xfId="16" applyNumberFormat="1" applyFont="1" applyBorder="1" applyAlignment="1">
      <alignment horizontal="center"/>
    </xf>
    <xf numFmtId="15" fontId="14" fillId="0" borderId="3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68" fontId="14" fillId="0" borderId="0" xfId="16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8" fontId="14" fillId="0" borderId="0" xfId="16" applyNumberFormat="1" applyFont="1" applyAlignment="1">
      <alignment horizontal="center"/>
    </xf>
    <xf numFmtId="168" fontId="15" fillId="0" borderId="0" xfId="16" applyNumberFormat="1" applyFont="1" applyBorder="1" applyAlignment="1">
      <alignment wrapText="1"/>
    </xf>
    <xf numFmtId="168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168" fontId="15" fillId="0" borderId="4" xfId="0" applyNumberFormat="1" applyFont="1" applyBorder="1" applyAlignment="1">
      <alignment/>
    </xf>
    <xf numFmtId="168" fontId="15" fillId="0" borderId="4" xfId="16" applyNumberFormat="1" applyFont="1" applyBorder="1" applyAlignment="1">
      <alignment/>
    </xf>
    <xf numFmtId="37" fontId="15" fillId="0" borderId="0" xfId="0" applyNumberFormat="1" applyFont="1" applyFill="1" applyBorder="1" applyAlignment="1">
      <alignment horizontal="right"/>
    </xf>
    <xf numFmtId="168" fontId="15" fillId="0" borderId="0" xfId="16" applyNumberFormat="1" applyFont="1" applyFill="1" applyBorder="1" applyAlignment="1">
      <alignment/>
    </xf>
    <xf numFmtId="168" fontId="15" fillId="0" borderId="0" xfId="16" applyNumberFormat="1" applyFont="1" applyFill="1" applyBorder="1" applyAlignment="1">
      <alignment horizontal="right"/>
    </xf>
    <xf numFmtId="168" fontId="15" fillId="0" borderId="3" xfId="16" applyNumberFormat="1" applyFont="1" applyBorder="1" applyAlignment="1">
      <alignment/>
    </xf>
    <xf numFmtId="9" fontId="15" fillId="0" borderId="0" xfId="30" applyFont="1" applyFill="1" applyBorder="1" applyAlignment="1">
      <alignment/>
    </xf>
    <xf numFmtId="37" fontId="15" fillId="0" borderId="0" xfId="0" applyNumberFormat="1" applyFont="1" applyFill="1" applyBorder="1" applyAlignment="1">
      <alignment/>
    </xf>
    <xf numFmtId="168" fontId="15" fillId="0" borderId="3" xfId="0" applyNumberFormat="1" applyFont="1" applyBorder="1" applyAlignment="1">
      <alignment/>
    </xf>
    <xf numFmtId="168" fontId="15" fillId="0" borderId="3" xfId="16" applyNumberFormat="1" applyFont="1" applyFill="1" applyBorder="1" applyAlignment="1">
      <alignment/>
    </xf>
    <xf numFmtId="37" fontId="15" fillId="0" borderId="3" xfId="0" applyNumberFormat="1" applyFont="1" applyFill="1" applyBorder="1" applyAlignment="1">
      <alignment/>
    </xf>
    <xf numFmtId="168" fontId="15" fillId="0" borderId="0" xfId="16" applyNumberFormat="1" applyFont="1" applyAlignment="1">
      <alignment wrapText="1"/>
    </xf>
    <xf numFmtId="168" fontId="15" fillId="0" borderId="5" xfId="0" applyNumberFormat="1" applyFont="1" applyBorder="1" applyAlignment="1">
      <alignment/>
    </xf>
    <xf numFmtId="37" fontId="15" fillId="0" borderId="5" xfId="0" applyNumberFormat="1" applyFont="1" applyBorder="1" applyAlignment="1">
      <alignment/>
    </xf>
    <xf numFmtId="168" fontId="15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37" fontId="15" fillId="0" borderId="2" xfId="0" applyNumberFormat="1" applyFont="1" applyBorder="1" applyAlignment="1">
      <alignment/>
    </xf>
    <xf numFmtId="0" fontId="15" fillId="0" borderId="0" xfId="0" applyFont="1" applyAlignment="1">
      <alignment wrapText="1"/>
    </xf>
    <xf numFmtId="9" fontId="15" fillId="0" borderId="0" xfId="30" applyFont="1" applyAlignment="1">
      <alignment/>
    </xf>
    <xf numFmtId="37" fontId="15" fillId="0" borderId="0" xfId="0" applyNumberFormat="1" applyFont="1" applyFill="1" applyAlignment="1">
      <alignment/>
    </xf>
    <xf numFmtId="37" fontId="15" fillId="0" borderId="0" xfId="0" applyNumberFormat="1" applyFont="1" applyAlignment="1">
      <alignment/>
    </xf>
    <xf numFmtId="43" fontId="15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9" fontId="15" fillId="0" borderId="0" xfId="30" applyNumberFormat="1" applyFont="1" applyAlignment="1">
      <alignment/>
    </xf>
    <xf numFmtId="0" fontId="14" fillId="0" borderId="0" xfId="16" applyNumberFormat="1" applyFont="1" applyAlignment="1">
      <alignment horizontal="left"/>
    </xf>
    <xf numFmtId="168" fontId="15" fillId="0" borderId="0" xfId="16" applyNumberFormat="1" applyFont="1" applyFill="1" applyBorder="1" applyAlignment="1">
      <alignment wrapText="1"/>
    </xf>
    <xf numFmtId="168" fontId="15" fillId="0" borderId="0" xfId="16" applyNumberFormat="1" applyFont="1" applyFill="1" applyBorder="1" applyAlignment="1">
      <alignment horizontal="center" wrapText="1"/>
    </xf>
    <xf numFmtId="168" fontId="15" fillId="0" borderId="3" xfId="16" applyNumberFormat="1" applyFont="1" applyFill="1" applyBorder="1" applyAlignment="1">
      <alignment horizontal="center" wrapText="1"/>
    </xf>
    <xf numFmtId="168" fontId="15" fillId="0" borderId="0" xfId="16" applyNumberFormat="1" applyFont="1" applyFill="1" applyAlignment="1">
      <alignment wrapText="1"/>
    </xf>
    <xf numFmtId="168" fontId="15" fillId="0" borderId="2" xfId="16" applyNumberFormat="1" applyFont="1" applyBorder="1" applyAlignment="1">
      <alignment/>
    </xf>
    <xf numFmtId="0" fontId="16" fillId="0" borderId="0" xfId="0" applyFont="1" applyAlignment="1">
      <alignment/>
    </xf>
    <xf numFmtId="168" fontId="15" fillId="0" borderId="0" xfId="18" applyNumberFormat="1" applyFont="1" applyAlignment="1">
      <alignment/>
    </xf>
    <xf numFmtId="0" fontId="20" fillId="0" borderId="0" xfId="0" applyFont="1" applyAlignment="1">
      <alignment/>
    </xf>
    <xf numFmtId="168" fontId="21" fillId="0" borderId="0" xfId="16" applyNumberFormat="1" applyFont="1" applyAlignment="1">
      <alignment/>
    </xf>
    <xf numFmtId="168" fontId="21" fillId="0" borderId="0" xfId="16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168" fontId="22" fillId="0" borderId="0" xfId="16" applyNumberFormat="1" applyFont="1" applyAlignment="1">
      <alignment/>
    </xf>
    <xf numFmtId="0" fontId="22" fillId="0" borderId="0" xfId="0" applyFont="1" applyAlignment="1">
      <alignment/>
    </xf>
    <xf numFmtId="168" fontId="20" fillId="0" borderId="0" xfId="16" applyNumberFormat="1" applyFont="1" applyAlignment="1">
      <alignment horizontal="right"/>
    </xf>
    <xf numFmtId="168" fontId="20" fillId="0" borderId="0" xfId="16" applyNumberFormat="1" applyFont="1" applyBorder="1" applyAlignment="1">
      <alignment horizontal="right"/>
    </xf>
    <xf numFmtId="1" fontId="20" fillId="0" borderId="0" xfId="16" applyNumberFormat="1" applyFont="1" applyAlignment="1">
      <alignment horizontal="center"/>
    </xf>
    <xf numFmtId="1" fontId="21" fillId="0" borderId="0" xfId="16" applyNumberFormat="1" applyFont="1" applyAlignment="1">
      <alignment horizontal="center"/>
    </xf>
    <xf numFmtId="0" fontId="20" fillId="0" borderId="0" xfId="16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68" fontId="20" fillId="0" borderId="3" xfId="16" applyNumberFormat="1" applyFont="1" applyBorder="1" applyAlignment="1">
      <alignment horizontal="center" wrapText="1"/>
    </xf>
    <xf numFmtId="168" fontId="21" fillId="0" borderId="0" xfId="16" applyNumberFormat="1" applyFont="1" applyAlignment="1">
      <alignment horizontal="center"/>
    </xf>
    <xf numFmtId="168" fontId="20" fillId="0" borderId="0" xfId="16" applyNumberFormat="1" applyFont="1" applyAlignment="1">
      <alignment horizontal="center"/>
    </xf>
    <xf numFmtId="168" fontId="21" fillId="0" borderId="0" xfId="16" applyNumberFormat="1" applyFont="1" applyFill="1" applyAlignment="1">
      <alignment/>
    </xf>
    <xf numFmtId="168" fontId="21" fillId="0" borderId="0" xfId="0" applyNumberFormat="1" applyFont="1" applyAlignment="1">
      <alignment/>
    </xf>
    <xf numFmtId="0" fontId="21" fillId="0" borderId="0" xfId="0" applyFont="1" applyAlignment="1">
      <alignment horizontal="left" indent="1"/>
    </xf>
    <xf numFmtId="168" fontId="21" fillId="0" borderId="3" xfId="16" applyNumberFormat="1" applyFont="1" applyBorder="1" applyAlignment="1">
      <alignment/>
    </xf>
    <xf numFmtId="168" fontId="21" fillId="0" borderId="3" xfId="16" applyNumberFormat="1" applyFont="1" applyFill="1" applyBorder="1" applyAlignment="1">
      <alignment/>
    </xf>
    <xf numFmtId="0" fontId="21" fillId="0" borderId="0" xfId="0" applyFont="1" applyAlignment="1">
      <alignment horizontal="left"/>
    </xf>
    <xf numFmtId="168" fontId="21" fillId="0" borderId="0" xfId="16" applyNumberFormat="1" applyFont="1" applyFill="1" applyBorder="1" applyAlignment="1">
      <alignment/>
    </xf>
    <xf numFmtId="168" fontId="21" fillId="0" borderId="4" xfId="16" applyNumberFormat="1" applyFont="1" applyBorder="1" applyAlignment="1">
      <alignment/>
    </xf>
    <xf numFmtId="168" fontId="21" fillId="0" borderId="4" xfId="16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37" fontId="21" fillId="0" borderId="0" xfId="0" applyNumberFormat="1" applyFont="1" applyAlignment="1">
      <alignment/>
    </xf>
    <xf numFmtId="0" fontId="2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168" fontId="21" fillId="0" borderId="5" xfId="16" applyNumberFormat="1" applyFont="1" applyBorder="1" applyAlignment="1">
      <alignment/>
    </xf>
    <xf numFmtId="168" fontId="21" fillId="0" borderId="5" xfId="16" applyNumberFormat="1" applyFont="1" applyFill="1" applyBorder="1" applyAlignment="1">
      <alignment/>
    </xf>
    <xf numFmtId="43" fontId="21" fillId="0" borderId="0" xfId="16" applyFont="1" applyAlignment="1">
      <alignment/>
    </xf>
    <xf numFmtId="168" fontId="15" fillId="0" borderId="0" xfId="16" applyNumberFormat="1" applyFont="1" applyFill="1" applyBorder="1" applyAlignment="1">
      <alignment horizontal="center" wrapText="1"/>
    </xf>
    <xf numFmtId="168" fontId="0" fillId="0" borderId="0" xfId="0" applyNumberFormat="1" applyFont="1" applyFill="1" applyBorder="1" applyAlignment="1">
      <alignment/>
    </xf>
  </cellXfs>
  <cellStyles count="22">
    <cellStyle name="Normal" xfId="0"/>
    <cellStyle name="Comma" xfId="16"/>
    <cellStyle name="Comma [0]" xfId="17"/>
    <cellStyle name="Comma_PEZ11298-Minority interest workings(SY)" xfId="18"/>
    <cellStyle name="Currency" xfId="19"/>
    <cellStyle name="Currency [0]" xfId="20"/>
    <cellStyle name="Date" xfId="21"/>
    <cellStyle name="Fixed" xfId="22"/>
    <cellStyle name="Followed Hyperlink" xfId="23"/>
    <cellStyle name="Grey" xfId="24"/>
    <cellStyle name="Heading1" xfId="25"/>
    <cellStyle name="Heading2" xfId="26"/>
    <cellStyle name="Hyperlink" xfId="27"/>
    <cellStyle name="Input [yellow]" xfId="28"/>
    <cellStyle name="Normal - Style1" xfId="29"/>
    <cellStyle name="Percent" xfId="30"/>
    <cellStyle name="Percent [2]" xfId="31"/>
    <cellStyle name="Total" xfId="32"/>
    <cellStyle name="Tusental (0)_pldt" xfId="33"/>
    <cellStyle name="Tusental_pldt" xfId="34"/>
    <cellStyle name="Valuta (0)_pldt" xfId="35"/>
    <cellStyle name="Valuta_pld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Hariati\Financial%20Reporting\2006\Consol-Q12006\ConsolQ106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3\4th%20quarter\Consolidation\DOCUME~1\ADMINI~1\LOCALS~1\Temp\c.lotus.notes.data\KLSE%20Announcement-%201st%20Qtr%202001\Consol%20March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2003\4th%20quarter\Consolidation\DOCUME~1\ADMINI~1\LOCALS~1\Temp\c.lotus.notes.data\KLSE%20Announcement-%201st%20Qtr%202001\Consol%20Balance%20Sheet%20and%20P&amp;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lan's\Hariati\Financial%20Reporting\2005\Q42005\Consol\Consol-Q42005AOLdis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%20Reporting\2005\Q1%202005\Consol-Q12005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M"/>
      <sheetName val="BlnSht"/>
      <sheetName val="YSt"/>
      <sheetName val="StEq"/>
      <sheetName val="CFlow"/>
      <sheetName val="DFS"/>
      <sheetName val="BlnSht(D)"/>
      <sheetName val="segmental"/>
      <sheetName val="YSt(Sum)"/>
      <sheetName val="YSt(D)"/>
      <sheetName val="Notes BSht"/>
      <sheetName val="GrpCFlow"/>
      <sheetName val="CoCFlow"/>
      <sheetName val="NotesYSt"/>
      <sheetName val="StEq(D)"/>
      <sheetName val="Fixed Assets"/>
      <sheetName val="ConEnt"/>
      <sheetName val="IntcoElim"/>
      <sheetName val="CEGrid(Co)"/>
      <sheetName val="CE(Co)"/>
      <sheetName val="CE(Grp)"/>
      <sheetName val="CEGrid(Grp)"/>
      <sheetName val="InvElim"/>
      <sheetName val="InvElim b4 disp AOL"/>
      <sheetName val="RPTElim"/>
      <sheetName val="MIProof"/>
      <sheetName val="NTA(Assoc)"/>
      <sheetName val="DisposalAOL"/>
      <sheetName val="BODTemp"/>
      <sheetName val="BOD"/>
      <sheetName val="HTP"/>
      <sheetName val="Ystanalysis"/>
      <sheetName val="Budget"/>
      <sheetName val="SUBS"/>
      <sheetName val="HTP bgt"/>
      <sheetName val="FSG"/>
      <sheetName val="HTPBS"/>
      <sheetName val="HTP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ICity(BS)"/>
      <sheetName val="ICity(P&amp;L)"/>
      <sheetName val="SAMBS"/>
      <sheetName val="SAMP&amp;L"/>
      <sheetName val="AOLBS"/>
      <sheetName val="AOLP&amp;L"/>
    </sheetNames>
    <sheetDataSet>
      <sheetData sheetId="2">
        <row r="51">
          <cell r="B51">
            <v>100008300</v>
          </cell>
        </row>
        <row r="55">
          <cell r="B55">
            <v>190857221.05362207</v>
          </cell>
        </row>
      </sheetData>
      <sheetData sheetId="3">
        <row r="3">
          <cell r="A3" t="str">
            <v>FOR THE QUARTER ENDED 31 MARCH 2006</v>
          </cell>
        </row>
        <row r="33">
          <cell r="D33">
            <v>4304798</v>
          </cell>
        </row>
        <row r="34">
          <cell r="B34">
            <v>271364.3134013493</v>
          </cell>
          <cell r="L34">
            <v>372859.56</v>
          </cell>
        </row>
      </sheetData>
      <sheetData sheetId="7">
        <row r="10">
          <cell r="Y10">
            <v>3264527.1399999997</v>
          </cell>
        </row>
        <row r="11">
          <cell r="Y11">
            <v>578999.9999999997</v>
          </cell>
        </row>
        <row r="12">
          <cell r="Y12">
            <v>0</v>
          </cell>
        </row>
        <row r="13">
          <cell r="Y13">
            <v>0</v>
          </cell>
        </row>
        <row r="14">
          <cell r="Y14">
            <v>85360093.43</v>
          </cell>
        </row>
        <row r="15">
          <cell r="Y15">
            <v>25301104.570000004</v>
          </cell>
        </row>
        <row r="16">
          <cell r="Y16">
            <v>5256109.25</v>
          </cell>
        </row>
        <row r="17">
          <cell r="Y17">
            <v>220768.07</v>
          </cell>
        </row>
        <row r="19">
          <cell r="Y19">
            <v>-0.29999999701976776</v>
          </cell>
        </row>
        <row r="21">
          <cell r="Y21">
            <v>2573316.2</v>
          </cell>
        </row>
        <row r="22">
          <cell r="Y22">
            <v>0</v>
          </cell>
        </row>
        <row r="23">
          <cell r="Y23">
            <v>918899.06</v>
          </cell>
        </row>
        <row r="24">
          <cell r="Y24">
            <v>95559.04999999999</v>
          </cell>
        </row>
        <row r="25">
          <cell r="Y25">
            <v>1869577.4100000001</v>
          </cell>
        </row>
        <row r="26">
          <cell r="Y26">
            <v>17339422.176783357</v>
          </cell>
        </row>
        <row r="30">
          <cell r="Y30">
            <v>14645180.507000001</v>
          </cell>
        </row>
        <row r="31">
          <cell r="Y31">
            <v>9443462.390000015</v>
          </cell>
        </row>
        <row r="32">
          <cell r="Y32">
            <v>58716.51771813631</v>
          </cell>
        </row>
        <row r="33">
          <cell r="Y33">
            <v>0</v>
          </cell>
        </row>
        <row r="34">
          <cell r="Y34">
            <v>1674535.96</v>
          </cell>
        </row>
        <row r="35">
          <cell r="Y35">
            <v>0</v>
          </cell>
        </row>
        <row r="36">
          <cell r="Y36">
            <v>53274.8</v>
          </cell>
        </row>
        <row r="37">
          <cell r="F37">
            <v>17105548.850999996</v>
          </cell>
          <cell r="Y37">
            <v>17105548.850999996</v>
          </cell>
        </row>
        <row r="39">
          <cell r="Y39">
            <v>771890.5700000001</v>
          </cell>
        </row>
        <row r="40">
          <cell r="Y40">
            <v>6448970.317021277</v>
          </cell>
        </row>
        <row r="41">
          <cell r="Y41">
            <v>50668</v>
          </cell>
        </row>
        <row r="50">
          <cell r="Y50">
            <v>0</v>
          </cell>
        </row>
        <row r="51">
          <cell r="Y51">
            <v>9016487.24</v>
          </cell>
        </row>
        <row r="52">
          <cell r="Y52">
            <v>88988384.93800005</v>
          </cell>
        </row>
        <row r="53">
          <cell r="Y53">
            <v>0</v>
          </cell>
        </row>
        <row r="54">
          <cell r="Y54">
            <v>0</v>
          </cell>
        </row>
        <row r="55">
          <cell r="Y55">
            <v>-2116979.97972</v>
          </cell>
        </row>
        <row r="56">
          <cell r="Y56">
            <v>-3925963.8329787236</v>
          </cell>
        </row>
        <row r="57">
          <cell r="Y57">
            <v>5980639.48</v>
          </cell>
        </row>
        <row r="58">
          <cell r="Y58">
            <v>3390932.572293942</v>
          </cell>
        </row>
        <row r="62">
          <cell r="Y62">
            <v>100008300</v>
          </cell>
        </row>
        <row r="64">
          <cell r="Y64">
            <v>0</v>
          </cell>
        </row>
        <row r="65">
          <cell r="Y65">
            <v>16516683</v>
          </cell>
        </row>
        <row r="66">
          <cell r="T66">
            <v>552384</v>
          </cell>
          <cell r="Y66">
            <v>552384</v>
          </cell>
        </row>
        <row r="67">
          <cell r="Y67">
            <v>73779854.05362208</v>
          </cell>
        </row>
        <row r="70">
          <cell r="Y70">
            <v>3002406.5381118683</v>
          </cell>
        </row>
      </sheetData>
      <sheetData sheetId="9">
        <row r="10">
          <cell r="X10">
            <v>74441132.68</v>
          </cell>
        </row>
        <row r="11">
          <cell r="X11">
            <v>-58932409.76200001</v>
          </cell>
        </row>
        <row r="13">
          <cell r="X13">
            <v>4626.34</v>
          </cell>
        </row>
        <row r="14">
          <cell r="X14">
            <v>476280.6299999999</v>
          </cell>
        </row>
        <row r="17">
          <cell r="X17">
            <v>-5976691.544091361</v>
          </cell>
        </row>
        <row r="18">
          <cell r="X18">
            <v>-2156232.630387289</v>
          </cell>
        </row>
        <row r="19">
          <cell r="X19">
            <v>-354160.67</v>
          </cell>
        </row>
        <row r="20">
          <cell r="X20">
            <v>-1640109.770272095</v>
          </cell>
        </row>
        <row r="22">
          <cell r="X22">
            <v>-563390.7599553127</v>
          </cell>
        </row>
        <row r="24">
          <cell r="X24">
            <v>0</v>
          </cell>
        </row>
        <row r="26">
          <cell r="X26">
            <v>-1506110.8399999999</v>
          </cell>
        </row>
        <row r="29">
          <cell r="X29">
            <v>-271364.3134013493</v>
          </cell>
        </row>
        <row r="30">
          <cell r="X30">
            <v>3521569.3598925895</v>
          </cell>
        </row>
      </sheetData>
      <sheetData sheetId="10">
        <row r="31">
          <cell r="N31">
            <v>8215500.97</v>
          </cell>
        </row>
        <row r="35">
          <cell r="N35">
            <v>6982382.380000001</v>
          </cell>
        </row>
        <row r="37">
          <cell r="N37">
            <v>12315848.650000002</v>
          </cell>
        </row>
        <row r="45">
          <cell r="N45">
            <v>3622045.3219999997</v>
          </cell>
        </row>
        <row r="50">
          <cell r="D50">
            <v>172681.98</v>
          </cell>
          <cell r="N50">
            <v>172681.98</v>
          </cell>
        </row>
        <row r="52">
          <cell r="N52">
            <v>5172428.990000001</v>
          </cell>
        </row>
        <row r="54">
          <cell r="N54">
            <v>2380411.02</v>
          </cell>
        </row>
        <row r="84">
          <cell r="N84">
            <v>0</v>
          </cell>
        </row>
        <row r="94">
          <cell r="N94">
            <v>5976691.544091361</v>
          </cell>
        </row>
        <row r="140">
          <cell r="N140">
            <v>1147490.3569999998</v>
          </cell>
        </row>
      </sheetData>
      <sheetData sheetId="12">
        <row r="6">
          <cell r="B6">
            <v>15968100.849</v>
          </cell>
          <cell r="C6">
            <v>3264527.1399999997</v>
          </cell>
        </row>
        <row r="7">
          <cell r="B7">
            <v>7249.999999999627</v>
          </cell>
          <cell r="C7">
            <v>578999.9999999997</v>
          </cell>
        </row>
        <row r="14">
          <cell r="B14">
            <v>0</v>
          </cell>
          <cell r="C14">
            <v>-17105548.850999996</v>
          </cell>
        </row>
        <row r="33">
          <cell r="AD33">
            <v>-382590.34156</v>
          </cell>
        </row>
        <row r="39">
          <cell r="E39">
            <v>5299043.252478443</v>
          </cell>
          <cell r="F39">
            <v>4769535.679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552384</v>
          </cell>
          <cell r="N39">
            <v>20011.294409136048</v>
          </cell>
          <cell r="O39">
            <v>0</v>
          </cell>
          <cell r="P39">
            <v>661708.3973982123</v>
          </cell>
          <cell r="Q39">
            <v>172681.98</v>
          </cell>
          <cell r="R39">
            <v>0</v>
          </cell>
          <cell r="S39">
            <v>-11177.53</v>
          </cell>
          <cell r="T39">
            <v>-3891</v>
          </cell>
          <cell r="U39">
            <v>0</v>
          </cell>
          <cell r="V39">
            <v>0</v>
          </cell>
          <cell r="W39">
            <v>-508552.4112939411</v>
          </cell>
          <cell r="X39">
            <v>-4627116.688062198</v>
          </cell>
          <cell r="Y39">
            <v>-16004144.096125893</v>
          </cell>
          <cell r="Z39">
            <v>-12953339.210000003</v>
          </cell>
          <cell r="AA39">
            <v>0</v>
          </cell>
          <cell r="AC39">
            <v>-661708.3973982123</v>
          </cell>
          <cell r="AE39">
            <v>-1093834.566201643</v>
          </cell>
          <cell r="AF39">
            <v>11177.53</v>
          </cell>
          <cell r="AG39">
            <v>0</v>
          </cell>
          <cell r="AH39">
            <v>0</v>
          </cell>
          <cell r="AJ39">
            <v>-1091881.9300000023</v>
          </cell>
          <cell r="AK39">
            <v>0</v>
          </cell>
          <cell r="AL39">
            <v>-1772508</v>
          </cell>
          <cell r="AS39">
            <v>-1613171.8499999996</v>
          </cell>
          <cell r="AT39">
            <v>0</v>
          </cell>
        </row>
      </sheetData>
      <sheetData sheetId="13">
        <row r="6">
          <cell r="B6">
            <v>11044944</v>
          </cell>
          <cell r="C6">
            <v>0</v>
          </cell>
        </row>
        <row r="7">
          <cell r="B7">
            <v>9002291</v>
          </cell>
          <cell r="C7">
            <v>-3.725290076417309E-10</v>
          </cell>
        </row>
        <row r="35">
          <cell r="E35">
            <v>4049819.4032939486</v>
          </cell>
          <cell r="F35">
            <v>3626220.8189999997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429.48440913604776</v>
          </cell>
          <cell r="N35">
            <v>644845.3373982124</v>
          </cell>
          <cell r="O35">
            <v>-11177.53</v>
          </cell>
          <cell r="P35">
            <v>0</v>
          </cell>
          <cell r="Q35">
            <v>0</v>
          </cell>
          <cell r="R35">
            <v>-1176948.5</v>
          </cell>
          <cell r="T35">
            <v>-13274775.451</v>
          </cell>
          <cell r="U35">
            <v>594776.4477060582</v>
          </cell>
          <cell r="V35">
            <v>32370270.979999997</v>
          </cell>
          <cell r="W35">
            <v>-51012417.16299998</v>
          </cell>
          <cell r="X35">
            <v>-4926682.750000002</v>
          </cell>
          <cell r="Z35">
            <v>-644845.3373982124</v>
          </cell>
          <cell r="AA35">
            <v>0</v>
          </cell>
          <cell r="AB35">
            <v>-5065113.819999999</v>
          </cell>
          <cell r="AC35">
            <v>11177.53</v>
          </cell>
          <cell r="AE35">
            <v>10000</v>
          </cell>
          <cell r="AF35">
            <v>91000.04</v>
          </cell>
          <cell r="AG35">
            <v>0</v>
          </cell>
          <cell r="AH35">
            <v>0</v>
          </cell>
          <cell r="AI35">
            <v>-6336000</v>
          </cell>
          <cell r="AJ35">
            <v>0</v>
          </cell>
          <cell r="AK35">
            <v>-12567641.950000001</v>
          </cell>
        </row>
        <row r="38">
          <cell r="AL38">
            <v>-19948296.196590826</v>
          </cell>
        </row>
      </sheetData>
      <sheetData sheetId="15">
        <row r="11">
          <cell r="Y11">
            <v>100008300</v>
          </cell>
        </row>
        <row r="12">
          <cell r="Y12">
            <v>0</v>
          </cell>
        </row>
        <row r="31">
          <cell r="Y31">
            <v>0</v>
          </cell>
        </row>
        <row r="32">
          <cell r="Y32">
            <v>16516683</v>
          </cell>
        </row>
        <row r="37">
          <cell r="Z37">
            <v>70030706</v>
          </cell>
        </row>
        <row r="38">
          <cell r="Y38">
            <v>3521569.3598925895</v>
          </cell>
        </row>
        <row r="39">
          <cell r="Y39">
            <v>0</v>
          </cell>
        </row>
        <row r="40">
          <cell r="Y40">
            <v>0</v>
          </cell>
        </row>
        <row r="41">
          <cell r="Y41">
            <v>0</v>
          </cell>
        </row>
      </sheetData>
      <sheetData sheetId="26">
        <row r="16">
          <cell r="G16">
            <v>-382590.34156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udgetvsactual"/>
      <sheetName val="CF-1|2"/>
      <sheetName val="CF-3"/>
      <sheetName val="CF-10"/>
      <sheetName val="CF-11"/>
      <sheetName val="CF-4|summary"/>
      <sheetName val="CF-4"/>
      <sheetName val="CF-4-1"/>
      <sheetName val="CF-4-2"/>
      <sheetName val="CF-4-3"/>
      <sheetName val="CF-4-4"/>
      <sheetName val="CF-5"/>
      <sheetName val="CF-5 Prioryr"/>
      <sheetName val="CF-6"/>
      <sheetName val="CF-22"/>
      <sheetName val="CF-23"/>
      <sheetName val="cya1"/>
      <sheetName val="CYA"/>
    </sheetNames>
    <sheetDataSet>
      <sheetData sheetId="2">
        <row r="53">
          <cell r="V53">
            <v>80000000</v>
          </cell>
        </row>
        <row r="55">
          <cell r="V55">
            <v>16500000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sheet"/>
      <sheetName val="p&amp;l"/>
      <sheetName val="statementofequity"/>
    </sheetNames>
    <sheetDataSet>
      <sheetData sheetId="0">
        <row r="15">
          <cell r="V15">
            <v>0</v>
          </cell>
        </row>
        <row r="16">
          <cell r="V16">
            <v>0</v>
          </cell>
        </row>
        <row r="27">
          <cell r="V2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M"/>
      <sheetName val="BlnSht"/>
      <sheetName val="YSt"/>
      <sheetName val="StEq"/>
      <sheetName val="CFlow"/>
      <sheetName val="DFS"/>
      <sheetName val="BlnSht(D)"/>
      <sheetName val="segmental"/>
      <sheetName val="YSt(Sum)"/>
      <sheetName val="StEq(D)"/>
      <sheetName val="YSt(D)"/>
      <sheetName val="GrpCFlow"/>
      <sheetName val="CoCFlow"/>
      <sheetName val="Notes BSht"/>
      <sheetName val="NotesYSt"/>
      <sheetName val="Fixed Assets"/>
      <sheetName val="ConEnt"/>
      <sheetName val="IntcoElim"/>
      <sheetName val="CEGrid(Co)"/>
      <sheetName val="CE(Co)"/>
      <sheetName val="CE(Grp)"/>
      <sheetName val="CEGrid(Grp)"/>
      <sheetName val="InvElim"/>
      <sheetName val="InvElim b4 disp AOL"/>
      <sheetName val="RPTElim"/>
      <sheetName val="MIProof"/>
      <sheetName val="NTA(Assoc)"/>
      <sheetName val="DisposalAOL"/>
      <sheetName val="BODTemp"/>
      <sheetName val="Budget"/>
      <sheetName val="BOD"/>
      <sheetName val="HTP bgt"/>
      <sheetName val="HTP"/>
      <sheetName val="SUBS"/>
      <sheetName val="Group 05Vs04"/>
      <sheetName val="FSG"/>
      <sheetName val="HTPBS"/>
      <sheetName val="HTP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ICity(BS)"/>
      <sheetName val="ICity(P&amp;L)"/>
      <sheetName val="SAMBS"/>
      <sheetName val="SAMP&amp;L"/>
    </sheetNames>
    <sheetDataSet>
      <sheetData sheetId="2">
        <row r="10">
          <cell r="B10">
            <v>92001532.79099995</v>
          </cell>
        </row>
        <row r="11">
          <cell r="B11">
            <v>5753837</v>
          </cell>
        </row>
        <row r="12">
          <cell r="B12">
            <v>3055062.1410000017</v>
          </cell>
        </row>
        <row r="13">
          <cell r="B13">
            <v>0</v>
          </cell>
        </row>
        <row r="14">
          <cell r="B14">
            <v>8966487.24</v>
          </cell>
        </row>
        <row r="19">
          <cell r="B19">
            <v>1551214.96</v>
          </cell>
        </row>
        <row r="21">
          <cell r="B21">
            <v>37281097.84387413</v>
          </cell>
        </row>
        <row r="22">
          <cell r="B22">
            <v>79155987.07872117</v>
          </cell>
        </row>
        <row r="24">
          <cell r="B24">
            <v>7249.999999999627</v>
          </cell>
        </row>
        <row r="25">
          <cell r="B25">
            <v>15968100.849</v>
          </cell>
        </row>
        <row r="35">
          <cell r="B35">
            <v>23884157.65471814</v>
          </cell>
        </row>
        <row r="36">
          <cell r="B36">
            <v>14944351.73000002</v>
          </cell>
        </row>
        <row r="37">
          <cell r="B37">
            <v>0</v>
          </cell>
        </row>
        <row r="38">
          <cell r="B38">
            <v>6461004</v>
          </cell>
        </row>
        <row r="39">
          <cell r="B39">
            <v>55000</v>
          </cell>
        </row>
        <row r="40">
          <cell r="B40">
            <v>44326.04620164342</v>
          </cell>
        </row>
        <row r="45">
          <cell r="B45">
            <v>88574811.30067551</v>
          </cell>
        </row>
        <row r="50">
          <cell r="B50">
            <v>100008300</v>
          </cell>
        </row>
        <row r="51">
          <cell r="B51">
            <v>16516683</v>
          </cell>
        </row>
        <row r="52">
          <cell r="B52">
            <v>70030706.40454498</v>
          </cell>
        </row>
        <row r="54">
          <cell r="B54">
            <v>227579</v>
          </cell>
        </row>
        <row r="55">
          <cell r="B55">
            <v>3928712.086270518</v>
          </cell>
        </row>
        <row r="59">
          <cell r="B59">
            <v>5522770</v>
          </cell>
        </row>
        <row r="60">
          <cell r="B60">
            <v>2116979.97972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BSDisc"/>
      <sheetName val="P&amp;LDisc"/>
      <sheetName val="EQ"/>
      <sheetName val="CF Disc"/>
      <sheetName val="BS-1"/>
      <sheetName val="P&amp;L-1"/>
      <sheetName val="P&amp;L-2"/>
      <sheetName val="EQ-1"/>
      <sheetName val="GCF"/>
      <sheetName val="Co CF"/>
      <sheetName val="NTA-BS"/>
      <sheetName val="NTA-P&amp;L"/>
      <sheetName val="cje(coy)"/>
      <sheetName val="&lt;cje&gt;(coy)"/>
      <sheetName val="CF-4(G)"/>
      <sheetName val="CF-4|summary(G)"/>
      <sheetName val="CF-4-1"/>
      <sheetName val="CF-4-2"/>
      <sheetName val="CF-4-3-MM"/>
      <sheetName val="CF-4-4-MI"/>
      <sheetName val="FA Disc"/>
      <sheetName val="CF-23(PNTA)"/>
      <sheetName val="Budget"/>
      <sheetName val="BOD"/>
      <sheetName val="HTP"/>
      <sheetName val="SUBS"/>
      <sheetName val="HTPBS"/>
      <sheetName val="HTPP&amp;L"/>
      <sheetName val="KCSBBS"/>
      <sheetName val="KCSB P&amp;L"/>
      <sheetName val="PSOFTBS"/>
      <sheetName val="PSOFTP&amp;l"/>
      <sheetName val="ETSBSB"/>
      <sheetName val="ETSBP&amp;L"/>
      <sheetName val="MRCBS"/>
      <sheetName val="MRCP&amp;L"/>
      <sheetName val="AOLBS"/>
      <sheetName val="AOLP&amp;L"/>
      <sheetName val="ICity(BS)"/>
      <sheetName val="ICity(P&amp;L)"/>
      <sheetName val="ICMPCJuly"/>
      <sheetName val="SAMBS"/>
      <sheetName val="SAMP&amp;L"/>
    </sheetNames>
    <sheetDataSet>
      <sheetData sheetId="20">
        <row r="16">
          <cell r="G16">
            <v>-735588</v>
          </cell>
        </row>
        <row r="18">
          <cell r="G18">
            <v>100108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abSelected="1" zoomScale="60" zoomScaleNormal="60" workbookViewId="0" topLeftCell="A44">
      <selection activeCell="B56" sqref="B56"/>
    </sheetView>
  </sheetViews>
  <sheetFormatPr defaultColWidth="9.00390625" defaultRowHeight="16.5"/>
  <cols>
    <col min="1" max="1" width="44.875" style="3" customWidth="1"/>
    <col min="2" max="2" width="17.25390625" style="3" customWidth="1"/>
    <col min="3" max="3" width="3.375" style="3" customWidth="1"/>
    <col min="4" max="4" width="16.25390625" style="3" hidden="1" customWidth="1"/>
    <col min="5" max="5" width="3.50390625" style="3" hidden="1" customWidth="1"/>
    <col min="6" max="6" width="16.25390625" style="47" customWidth="1"/>
    <col min="7" max="7" width="3.375" style="3" customWidth="1"/>
    <col min="8" max="8" width="16.25390625" style="3" hidden="1" customWidth="1"/>
    <col min="9" max="9" width="3.375" style="3" hidden="1" customWidth="1"/>
    <col min="10" max="10" width="14.625" style="4" hidden="1" customWidth="1"/>
    <col min="11" max="11" width="15.375" style="3" hidden="1" customWidth="1"/>
    <col min="12" max="12" width="17.375" style="3" hidden="1" customWidth="1"/>
    <col min="13" max="13" width="16.125" style="3" hidden="1" customWidth="1"/>
    <col min="14" max="14" width="13.75390625" style="5" hidden="1" customWidth="1"/>
    <col min="15" max="15" width="12.50390625" style="3" hidden="1" customWidth="1"/>
    <col min="16" max="16" width="0" style="3" hidden="1" customWidth="1"/>
    <col min="17" max="17" width="11.50390625" style="3" hidden="1" customWidth="1"/>
    <col min="18" max="19" width="9.00390625" style="3" customWidth="1"/>
    <col min="20" max="20" width="12.00390625" style="3" bestFit="1" customWidth="1"/>
    <col min="21" max="21" width="15.00390625" style="3" customWidth="1"/>
    <col min="22" max="16384" width="9.00390625" style="3" customWidth="1"/>
  </cols>
  <sheetData>
    <row r="1" spans="1:7" ht="16.5">
      <c r="A1" s="1" t="s">
        <v>0</v>
      </c>
      <c r="B1" s="1"/>
      <c r="C1" s="1"/>
      <c r="D1" s="1"/>
      <c r="E1" s="1"/>
      <c r="F1" s="2"/>
      <c r="G1" s="1"/>
    </row>
    <row r="2" spans="1:7" ht="16.5">
      <c r="A2" s="6" t="s">
        <v>1</v>
      </c>
      <c r="B2" s="6"/>
      <c r="C2" s="6"/>
      <c r="D2" s="6"/>
      <c r="E2" s="6"/>
      <c r="F2" s="7"/>
      <c r="G2" s="6"/>
    </row>
    <row r="3" spans="1:7" ht="16.5">
      <c r="A3" s="1" t="s">
        <v>2</v>
      </c>
      <c r="B3" s="1"/>
      <c r="C3" s="1"/>
      <c r="D3" s="1"/>
      <c r="E3" s="1"/>
      <c r="F3" s="7"/>
      <c r="G3" s="1"/>
    </row>
    <row r="4" spans="1:20" ht="16.5">
      <c r="A4" s="1"/>
      <c r="B4" s="1"/>
      <c r="C4" s="1"/>
      <c r="D4" s="1"/>
      <c r="E4" s="1"/>
      <c r="F4" s="2"/>
      <c r="G4" s="1"/>
      <c r="S4" s="8"/>
      <c r="T4" s="8"/>
    </row>
    <row r="5" spans="1:20" ht="16.5">
      <c r="A5" s="4"/>
      <c r="B5" s="9" t="s">
        <v>3</v>
      </c>
      <c r="C5" s="4"/>
      <c r="D5" s="9"/>
      <c r="E5" s="9"/>
      <c r="F5" s="10" t="s">
        <v>4</v>
      </c>
      <c r="G5" s="4"/>
      <c r="H5" s="11" t="s">
        <v>4</v>
      </c>
      <c r="J5" s="9" t="s">
        <v>4</v>
      </c>
      <c r="S5" s="8"/>
      <c r="T5" s="8"/>
    </row>
    <row r="6" spans="1:11" ht="16.5">
      <c r="A6" s="12"/>
      <c r="B6" s="13">
        <v>2006</v>
      </c>
      <c r="C6" s="14"/>
      <c r="D6" s="13"/>
      <c r="E6" s="13"/>
      <c r="F6" s="15">
        <v>2005</v>
      </c>
      <c r="G6" s="14"/>
      <c r="H6" s="16">
        <v>2001</v>
      </c>
      <c r="I6" s="17"/>
      <c r="J6" s="13">
        <v>2002</v>
      </c>
      <c r="K6" s="18" t="s">
        <v>5</v>
      </c>
    </row>
    <row r="7" spans="1:11" ht="36" customHeight="1">
      <c r="A7" s="19"/>
      <c r="B7" s="20" t="s">
        <v>6</v>
      </c>
      <c r="C7" s="19"/>
      <c r="D7" s="20"/>
      <c r="E7" s="21"/>
      <c r="F7" s="22" t="s">
        <v>7</v>
      </c>
      <c r="G7" s="19"/>
      <c r="H7" s="20" t="s">
        <v>7</v>
      </c>
      <c r="I7" s="23"/>
      <c r="J7" s="24" t="s">
        <v>7</v>
      </c>
      <c r="K7" s="25" t="s">
        <v>8</v>
      </c>
    </row>
    <row r="8" spans="1:11" ht="16.5">
      <c r="A8" s="19"/>
      <c r="B8" s="26" t="s">
        <v>9</v>
      </c>
      <c r="C8" s="27"/>
      <c r="D8" s="26"/>
      <c r="E8" s="26"/>
      <c r="F8" s="28" t="s">
        <v>9</v>
      </c>
      <c r="G8" s="27"/>
      <c r="H8" s="29" t="s">
        <v>9</v>
      </c>
      <c r="I8" s="30"/>
      <c r="J8" s="9" t="s">
        <v>9</v>
      </c>
      <c r="K8" s="30" t="s">
        <v>9</v>
      </c>
    </row>
    <row r="9" spans="1:11" ht="16.5">
      <c r="A9" s="27" t="s">
        <v>10</v>
      </c>
      <c r="B9" s="31"/>
      <c r="C9" s="19"/>
      <c r="D9" s="19"/>
      <c r="E9" s="19"/>
      <c r="F9" s="32"/>
      <c r="G9" s="19"/>
      <c r="H9" s="29"/>
      <c r="I9" s="30"/>
      <c r="J9" s="33"/>
      <c r="K9" s="30"/>
    </row>
    <row r="10" spans="1:20" ht="16.5">
      <c r="A10" s="34" t="s">
        <v>11</v>
      </c>
      <c r="B10" s="4">
        <f>'[1]BlnSht(D)'!Y52</f>
        <v>88988384.93800005</v>
      </c>
      <c r="C10" s="4"/>
      <c r="D10" s="4"/>
      <c r="E10" s="4"/>
      <c r="F10" s="35">
        <f>+'[4]BlnSht'!$B10</f>
        <v>92001532.79099995</v>
      </c>
      <c r="G10" s="4"/>
      <c r="H10" s="36">
        <v>52210180</v>
      </c>
      <c r="J10" s="4">
        <v>108728570</v>
      </c>
      <c r="K10" s="36">
        <v>52210000</v>
      </c>
      <c r="M10" s="37">
        <f>+B10-F10</f>
        <v>-3013147.852999896</v>
      </c>
      <c r="N10" s="5">
        <f>+M10/F10</f>
        <v>-0.03275106143986611</v>
      </c>
      <c r="T10" s="37"/>
    </row>
    <row r="11" spans="1:20" ht="16.5">
      <c r="A11" s="34" t="s">
        <v>12</v>
      </c>
      <c r="B11" s="4">
        <f>'[1]BlnSht(D)'!Y57</f>
        <v>5980639.48</v>
      </c>
      <c r="C11" s="4"/>
      <c r="D11" s="37"/>
      <c r="E11" s="37"/>
      <c r="F11" s="35">
        <f>+'[4]BlnSht'!$B11</f>
        <v>5753837</v>
      </c>
      <c r="G11" s="4"/>
      <c r="H11" s="36"/>
      <c r="K11" s="36"/>
      <c r="M11" s="37">
        <f>+B11-F11</f>
        <v>226802.48000000045</v>
      </c>
      <c r="N11" s="5">
        <f>+M11/F11</f>
        <v>0.039417606025335866</v>
      </c>
      <c r="T11" s="37"/>
    </row>
    <row r="12" spans="1:20" ht="16.5">
      <c r="A12" s="34" t="s">
        <v>13</v>
      </c>
      <c r="B12" s="4">
        <f>'[1]BlnSht(D)'!Y58+'[1]BlnSht(D)'!Y54</f>
        <v>3390932.572293942</v>
      </c>
      <c r="C12" s="4"/>
      <c r="D12" s="4"/>
      <c r="E12" s="4"/>
      <c r="F12" s="35">
        <f>+'[4]BlnSht'!$B12</f>
        <v>3055062.1410000017</v>
      </c>
      <c r="G12" s="4"/>
      <c r="H12" s="36">
        <v>4212758</v>
      </c>
      <c r="J12" s="4">
        <v>6275101</v>
      </c>
      <c r="K12" s="38">
        <v>4213000</v>
      </c>
      <c r="M12" s="37">
        <f>+B12-F12</f>
        <v>335870.4312939402</v>
      </c>
      <c r="N12" s="5">
        <f>+M12/F12</f>
        <v>0.10993898513108509</v>
      </c>
      <c r="T12" s="37"/>
    </row>
    <row r="13" spans="1:20" ht="16.5">
      <c r="A13" s="34" t="s">
        <v>14</v>
      </c>
      <c r="B13" s="34">
        <f>'[1]BlnSht(D)'!Y50</f>
        <v>0</v>
      </c>
      <c r="C13" s="34"/>
      <c r="D13" s="4"/>
      <c r="E13" s="4"/>
      <c r="F13" s="35">
        <f>+'[4]BlnSht'!$B13</f>
        <v>0</v>
      </c>
      <c r="G13" s="34"/>
      <c r="H13" s="36">
        <v>1373693</v>
      </c>
      <c r="J13" s="4">
        <v>1613588.1</v>
      </c>
      <c r="K13" s="36">
        <v>1374000</v>
      </c>
      <c r="M13" s="37">
        <f>+B13-F13</f>
        <v>0</v>
      </c>
      <c r="N13" s="5" t="e">
        <f>+M13/F13</f>
        <v>#DIV/0!</v>
      </c>
      <c r="T13" s="37"/>
    </row>
    <row r="14" spans="1:20" ht="16.5">
      <c r="A14" s="34" t="s">
        <v>15</v>
      </c>
      <c r="B14" s="34">
        <f>'[1]BlnSht(D)'!Y51</f>
        <v>9016487.24</v>
      </c>
      <c r="C14" s="34"/>
      <c r="D14" s="4"/>
      <c r="E14" s="4"/>
      <c r="F14" s="35">
        <f>+'[4]BlnSht'!$B14</f>
        <v>8966487.24</v>
      </c>
      <c r="G14" s="34"/>
      <c r="H14" s="36">
        <v>9217061</v>
      </c>
      <c r="J14" s="4">
        <v>7507500</v>
      </c>
      <c r="K14" s="36">
        <v>9217000</v>
      </c>
      <c r="M14" s="37">
        <f>+B14-F14</f>
        <v>50000</v>
      </c>
      <c r="N14" s="5">
        <f>+M14/F14</f>
        <v>0.005576319762877396</v>
      </c>
      <c r="T14" s="37"/>
    </row>
    <row r="15" spans="1:11" ht="16.5">
      <c r="A15" s="34"/>
      <c r="B15" s="34"/>
      <c r="C15" s="34"/>
      <c r="D15" s="34"/>
      <c r="E15" s="34"/>
      <c r="F15" s="39"/>
      <c r="G15" s="34"/>
      <c r="H15" s="36"/>
      <c r="K15" s="36"/>
    </row>
    <row r="16" spans="1:20" ht="16.5">
      <c r="A16" s="19" t="s">
        <v>16</v>
      </c>
      <c r="B16" s="40">
        <f>SUM(B10:B15)</f>
        <v>107376444.23029399</v>
      </c>
      <c r="C16" s="41"/>
      <c r="D16" s="40"/>
      <c r="E16" s="42"/>
      <c r="F16" s="43">
        <f>SUM(F10:F15)</f>
        <v>109776919.17199995</v>
      </c>
      <c r="G16" s="41"/>
      <c r="H16" s="40">
        <f>SUM(H10:H15)</f>
        <v>67013692</v>
      </c>
      <c r="I16" s="44"/>
      <c r="J16" s="40">
        <f>SUM(J10:J15)</f>
        <v>124124759.1</v>
      </c>
      <c r="K16" s="30"/>
      <c r="M16" s="37">
        <f>+B16-F16</f>
        <v>-2400474.941705957</v>
      </c>
      <c r="N16" s="5">
        <f>+M16/F16</f>
        <v>-0.021866845597523655</v>
      </c>
      <c r="T16" s="37"/>
    </row>
    <row r="17" spans="1:11" ht="16.5">
      <c r="A17" s="19"/>
      <c r="B17" s="45"/>
      <c r="C17" s="19"/>
      <c r="D17" s="19"/>
      <c r="E17" s="19"/>
      <c r="F17" s="32"/>
      <c r="G17" s="19"/>
      <c r="H17" s="29"/>
      <c r="I17" s="30"/>
      <c r="J17" s="33"/>
      <c r="K17" s="30"/>
    </row>
    <row r="18" spans="1:7" ht="16.5">
      <c r="A18" s="46" t="s">
        <v>17</v>
      </c>
      <c r="B18" s="46"/>
      <c r="C18" s="34"/>
      <c r="D18" s="34"/>
      <c r="E18" s="34"/>
      <c r="F18" s="39"/>
      <c r="G18" s="34"/>
    </row>
    <row r="19" spans="1:20" ht="16.5">
      <c r="A19" s="4" t="s">
        <v>18</v>
      </c>
      <c r="B19" s="4">
        <f>'[1]BlnSht(D)'!Y23</f>
        <v>918899.06</v>
      </c>
      <c r="C19" s="4"/>
      <c r="D19" s="4"/>
      <c r="E19" s="4"/>
      <c r="F19" s="35">
        <f>+'[4]BlnSht'!$B19</f>
        <v>1551214.96</v>
      </c>
      <c r="G19" s="4"/>
      <c r="H19" s="36">
        <v>16656984</v>
      </c>
      <c r="J19" s="4">
        <v>553212</v>
      </c>
      <c r="K19" s="36"/>
      <c r="M19" s="37">
        <f>+B19-F19</f>
        <v>-632315.8999999999</v>
      </c>
      <c r="N19" s="5">
        <f>+M19/F19</f>
        <v>-0.4076262260905477</v>
      </c>
      <c r="T19" s="37"/>
    </row>
    <row r="20" spans="1:20" ht="16.5" hidden="1">
      <c r="A20" s="4" t="s">
        <v>19</v>
      </c>
      <c r="B20" s="4">
        <f>'[1]BlnSht(D)'!Y13</f>
        <v>0</v>
      </c>
      <c r="C20" s="4"/>
      <c r="D20" s="4"/>
      <c r="E20" s="4"/>
      <c r="F20" s="47">
        <v>0</v>
      </c>
      <c r="G20" s="4"/>
      <c r="H20" s="36">
        <v>0</v>
      </c>
      <c r="J20" s="4">
        <v>1750320</v>
      </c>
      <c r="K20" s="36"/>
      <c r="M20" s="37">
        <f>+B20-F20</f>
        <v>0</v>
      </c>
      <c r="N20" s="5" t="e">
        <f>+M20/F20</f>
        <v>#DIV/0!</v>
      </c>
      <c r="T20" s="37"/>
    </row>
    <row r="21" spans="1:20" ht="15" customHeight="1">
      <c r="A21" s="4" t="s">
        <v>20</v>
      </c>
      <c r="B21" s="4">
        <f>'[1]BlnSht(D)'!Y15+'[1]BlnSht(D)'!Y22+'[1]BlnSht(D)'!Y21+'[1]BlnSht(D)'!Y25+'[1]BlnSht(D)'!Y19+'[1]BlnSht(D)'!Y24</f>
        <v>29839556.930000007</v>
      </c>
      <c r="C21" s="4"/>
      <c r="D21" s="4"/>
      <c r="E21" s="4"/>
      <c r="F21" s="35">
        <f>+'[4]BlnSht'!$B21-F22</f>
        <v>32340276.843874127</v>
      </c>
      <c r="G21" s="4"/>
      <c r="H21" s="36">
        <v>19187343</v>
      </c>
      <c r="J21" s="4">
        <v>17409749</v>
      </c>
      <c r="K21" s="36">
        <v>19186000</v>
      </c>
      <c r="M21" s="37">
        <f>+B21-F21</f>
        <v>-2500719.9138741195</v>
      </c>
      <c r="N21" s="5">
        <f>+M21/F21</f>
        <v>-0.07732524758358103</v>
      </c>
      <c r="T21" s="37"/>
    </row>
    <row r="22" spans="1:20" ht="15" customHeight="1">
      <c r="A22" s="4" t="s">
        <v>21</v>
      </c>
      <c r="B22" s="4">
        <f>+'[1]BlnSht(D)'!Y16</f>
        <v>5256109.25</v>
      </c>
      <c r="C22" s="4"/>
      <c r="D22" s="4"/>
      <c r="E22" s="4"/>
      <c r="F22" s="35">
        <v>4940821</v>
      </c>
      <c r="G22" s="4"/>
      <c r="H22" s="36"/>
      <c r="K22" s="36"/>
      <c r="M22" s="37"/>
      <c r="T22" s="37"/>
    </row>
    <row r="23" spans="1:20" ht="16.5">
      <c r="A23" s="4" t="s">
        <v>22</v>
      </c>
      <c r="B23" s="4">
        <f>'[1]BlnSht(D)'!Y14+'[1]BlnSht(D)'!Y26+'[1]BlnSht(D)'!Y17</f>
        <v>102920283.67678335</v>
      </c>
      <c r="C23" s="4"/>
      <c r="D23" s="4"/>
      <c r="E23" s="4"/>
      <c r="F23" s="35">
        <f>+'[4]BlnSht'!$B22</f>
        <v>79155987.07872117</v>
      </c>
      <c r="G23" s="4"/>
      <c r="H23" s="36">
        <v>84181136</v>
      </c>
      <c r="J23" s="4">
        <v>111414188</v>
      </c>
      <c r="K23" s="36">
        <v>100838000</v>
      </c>
      <c r="M23" s="37">
        <f>+B23-F23</f>
        <v>23764296.598062187</v>
      </c>
      <c r="N23" s="5">
        <f>+M23/F23</f>
        <v>0.3002210884494237</v>
      </c>
      <c r="T23" s="37"/>
    </row>
    <row r="24" spans="1:20" ht="16.5" hidden="1">
      <c r="A24" s="4" t="s">
        <v>23</v>
      </c>
      <c r="B24" s="4"/>
      <c r="C24" s="4"/>
      <c r="F24" s="35">
        <f>+'[4]BlnSht'!$B23</f>
        <v>0</v>
      </c>
      <c r="G24" s="4"/>
      <c r="H24" s="36">
        <v>0</v>
      </c>
      <c r="J24" s="4">
        <v>9330964</v>
      </c>
      <c r="K24" s="36"/>
      <c r="M24" s="37">
        <f>+B24-F24</f>
        <v>0</v>
      </c>
      <c r="N24" s="5" t="e">
        <f>+M24/F24</f>
        <v>#DIV/0!</v>
      </c>
      <c r="T24" s="37"/>
    </row>
    <row r="25" spans="1:20" ht="16.5">
      <c r="A25" s="34" t="s">
        <v>24</v>
      </c>
      <c r="B25" s="34">
        <f>'[1]BlnSht(D)'!Y11+'[1]BlnSht(D)'!Y12</f>
        <v>578999.9999999997</v>
      </c>
      <c r="C25" s="34"/>
      <c r="D25" s="4"/>
      <c r="E25" s="4"/>
      <c r="F25" s="35">
        <f>+'[4]BlnSht'!$B24</f>
        <v>7249.999999999627</v>
      </c>
      <c r="G25" s="34"/>
      <c r="H25" s="36">
        <v>60741492</v>
      </c>
      <c r="J25" s="4">
        <v>3285163</v>
      </c>
      <c r="K25" s="36">
        <v>60741000</v>
      </c>
      <c r="M25" s="37">
        <f>+B25-F25</f>
        <v>571750</v>
      </c>
      <c r="N25" s="5">
        <f>+M25/F25</f>
        <v>78.8620689655213</v>
      </c>
      <c r="T25" s="37"/>
    </row>
    <row r="26" spans="1:20" ht="16.5">
      <c r="A26" s="48" t="s">
        <v>25</v>
      </c>
      <c r="B26" s="48">
        <f>'[1]BlnSht(D)'!Y10</f>
        <v>3264527.1399999997</v>
      </c>
      <c r="C26" s="48"/>
      <c r="D26" s="34"/>
      <c r="E26" s="34"/>
      <c r="F26" s="35">
        <f>+'[4]BlnSht'!$B25</f>
        <v>15968100.849</v>
      </c>
      <c r="G26" s="48"/>
      <c r="H26" s="36">
        <v>5705819</v>
      </c>
      <c r="J26" s="4">
        <v>11277701</v>
      </c>
      <c r="K26" s="36">
        <v>5706000</v>
      </c>
      <c r="M26" s="37">
        <f>+B26-F26</f>
        <v>-12703573.708999999</v>
      </c>
      <c r="N26" s="5">
        <f>+M26/F26</f>
        <v>-0.7955594612740412</v>
      </c>
      <c r="O26" s="37">
        <f>+F26-16117202</f>
        <v>-149101.15100000054</v>
      </c>
      <c r="T26" s="37"/>
    </row>
    <row r="27" spans="1:20" ht="16.5" hidden="1">
      <c r="A27" s="4" t="s">
        <v>26</v>
      </c>
      <c r="B27" s="4"/>
      <c r="C27" s="4"/>
      <c r="D27" s="35"/>
      <c r="E27" s="35"/>
      <c r="F27" s="35"/>
      <c r="G27" s="4"/>
      <c r="H27" s="36"/>
      <c r="K27" s="36">
        <v>0</v>
      </c>
      <c r="T27" s="37"/>
    </row>
    <row r="28" spans="1:20" ht="16.5" hidden="1">
      <c r="A28" s="4" t="s">
        <v>27</v>
      </c>
      <c r="B28" s="4"/>
      <c r="C28" s="4"/>
      <c r="D28" s="35"/>
      <c r="E28" s="35"/>
      <c r="F28" s="35"/>
      <c r="G28" s="4"/>
      <c r="H28" s="36"/>
      <c r="K28" s="36">
        <v>0</v>
      </c>
      <c r="T28" s="37"/>
    </row>
    <row r="29" spans="1:20" ht="16.5" hidden="1">
      <c r="A29" s="4" t="s">
        <v>28</v>
      </c>
      <c r="B29" s="4"/>
      <c r="C29" s="4"/>
      <c r="D29" s="35"/>
      <c r="E29" s="35"/>
      <c r="F29" s="35"/>
      <c r="G29" s="4"/>
      <c r="H29" s="36">
        <f>'[3]bsheet'!V15</f>
        <v>0</v>
      </c>
      <c r="K29" s="36"/>
      <c r="T29" s="37"/>
    </row>
    <row r="30" spans="1:20" ht="16.5" hidden="1">
      <c r="A30" s="48" t="s">
        <v>29</v>
      </c>
      <c r="B30" s="48"/>
      <c r="C30" s="48"/>
      <c r="D30" s="49"/>
      <c r="E30" s="49"/>
      <c r="F30" s="49"/>
      <c r="G30" s="48"/>
      <c r="H30" s="36">
        <f>'[3]bsheet'!V16</f>
        <v>0</v>
      </c>
      <c r="K30" s="36"/>
      <c r="T30" s="37"/>
    </row>
    <row r="31" spans="1:20" ht="16.5" hidden="1">
      <c r="A31" s="34" t="s">
        <v>30</v>
      </c>
      <c r="B31" s="34"/>
      <c r="C31" s="48"/>
      <c r="D31" s="49"/>
      <c r="E31" s="49"/>
      <c r="F31" s="49"/>
      <c r="G31" s="48"/>
      <c r="H31" s="36"/>
      <c r="K31" s="50" t="s">
        <v>31</v>
      </c>
      <c r="T31" s="37"/>
    </row>
    <row r="32" spans="1:20" ht="16.5">
      <c r="A32" s="4"/>
      <c r="B32" s="4" t="s">
        <v>32</v>
      </c>
      <c r="C32" s="4"/>
      <c r="D32" s="35"/>
      <c r="E32" s="35"/>
      <c r="F32" s="35" t="s">
        <v>32</v>
      </c>
      <c r="G32" s="4"/>
      <c r="H32" s="36"/>
      <c r="J32" s="4" t="s">
        <v>32</v>
      </c>
      <c r="K32" s="36"/>
      <c r="T32" s="37"/>
    </row>
    <row r="33" spans="1:21" ht="16.5">
      <c r="A33" s="4" t="s">
        <v>33</v>
      </c>
      <c r="B33" s="51">
        <f>SUM(B19:B32)</f>
        <v>142778376.05678335</v>
      </c>
      <c r="C33" s="4"/>
      <c r="D33" s="52"/>
      <c r="E33" s="53"/>
      <c r="F33" s="54">
        <f>SUM(F19:F32)</f>
        <v>133963650.73159531</v>
      </c>
      <c r="G33" s="4"/>
      <c r="H33" s="55">
        <f>SUM(H19:H32)</f>
        <v>186472774</v>
      </c>
      <c r="J33" s="55">
        <f>SUM(J19:J32)</f>
        <v>155021297</v>
      </c>
      <c r="K33" s="55">
        <f>SUM(K25:K32)</f>
        <v>66447000</v>
      </c>
      <c r="M33" s="56">
        <f>B33-F33</f>
        <v>8814725.32518804</v>
      </c>
      <c r="N33" s="5">
        <f>+M33/F33</f>
        <v>0.06579938122803852</v>
      </c>
      <c r="T33" s="37"/>
      <c r="U33" s="5"/>
    </row>
    <row r="34" spans="1:20" ht="16.5">
      <c r="A34" s="4"/>
      <c r="B34" s="4"/>
      <c r="C34" s="4"/>
      <c r="D34" s="35"/>
      <c r="E34" s="35"/>
      <c r="F34" s="35"/>
      <c r="G34" s="4"/>
      <c r="H34" s="57"/>
      <c r="K34" s="36"/>
      <c r="T34" s="37"/>
    </row>
    <row r="35" spans="1:20" ht="16.5">
      <c r="A35" s="46" t="s">
        <v>34</v>
      </c>
      <c r="B35" s="46"/>
      <c r="C35" s="48"/>
      <c r="D35" s="49"/>
      <c r="E35" s="49"/>
      <c r="F35" s="49"/>
      <c r="G35" s="48"/>
      <c r="H35" s="36"/>
      <c r="K35" s="36"/>
      <c r="T35" s="37"/>
    </row>
    <row r="36" spans="1:20" ht="16.5">
      <c r="A36" s="4" t="s">
        <v>35</v>
      </c>
      <c r="B36" s="4">
        <f>'[1]BlnSht(D)'!Y30+'[1]BlnSht(D)'!Y32</f>
        <v>14703897.024718137</v>
      </c>
      <c r="C36" s="4"/>
      <c r="D36" s="4"/>
      <c r="E36" s="4"/>
      <c r="F36" s="35">
        <f>+'[4]BlnSht'!$B35</f>
        <v>23884157.65471814</v>
      </c>
      <c r="G36" s="4"/>
      <c r="H36" s="36">
        <v>25720160</v>
      </c>
      <c r="J36" s="4">
        <v>67816825</v>
      </c>
      <c r="K36" s="36">
        <v>25720000</v>
      </c>
      <c r="M36" s="37">
        <f aca="true" t="shared" si="0" ref="M36:M41">+B36-F36</f>
        <v>-9180260.63</v>
      </c>
      <c r="N36" s="5">
        <f aca="true" t="shared" si="1" ref="N36:N41">+M36/F36</f>
        <v>-0.38436610420658934</v>
      </c>
      <c r="T36" s="37"/>
    </row>
    <row r="37" spans="1:20" ht="18.75" customHeight="1">
      <c r="A37" s="4" t="s">
        <v>36</v>
      </c>
      <c r="B37" s="4">
        <f>'[1]BlnSht(D)'!Y31+'[1]BlnSht(D)'!Y34+'[1]BlnSht(D)'!Y36+'[1]BlnSht(D)'!Y35+'[1]BlnSht(D)'!Y33+1</f>
        <v>11171274.150000017</v>
      </c>
      <c r="C37" s="4"/>
      <c r="D37" s="4"/>
      <c r="E37" s="4"/>
      <c r="F37" s="35">
        <f>+'[4]BlnSht'!$B36</f>
        <v>14944351.73000002</v>
      </c>
      <c r="G37" s="4"/>
      <c r="H37" s="36">
        <v>45181048</v>
      </c>
      <c r="J37" s="35">
        <v>20761034</v>
      </c>
      <c r="K37" s="36">
        <v>45181000</v>
      </c>
      <c r="M37" s="37">
        <f t="shared" si="0"/>
        <v>-3773077.580000002</v>
      </c>
      <c r="N37" s="5">
        <f t="shared" si="1"/>
        <v>-0.25247515905462414</v>
      </c>
      <c r="T37" s="37"/>
    </row>
    <row r="38" spans="1:20" ht="16.5">
      <c r="A38" s="4" t="s">
        <v>37</v>
      </c>
      <c r="B38" s="4">
        <f>'[1]BlnSht(D)'!Y37</f>
        <v>17105548.850999996</v>
      </c>
      <c r="C38" s="4"/>
      <c r="D38" s="4"/>
      <c r="E38" s="4"/>
      <c r="F38" s="35">
        <f>+'[4]BlnSht'!$B37</f>
        <v>0</v>
      </c>
      <c r="G38" s="4"/>
      <c r="H38" s="36">
        <f>'[3]bsheet'!V27</f>
        <v>0</v>
      </c>
      <c r="K38" s="50"/>
      <c r="M38" s="37">
        <f t="shared" si="0"/>
        <v>17105548.850999996</v>
      </c>
      <c r="N38" s="5" t="e">
        <f t="shared" si="1"/>
        <v>#DIV/0!</v>
      </c>
      <c r="T38" s="37"/>
    </row>
    <row r="39" spans="1:20" ht="16.5">
      <c r="A39" s="34" t="s">
        <v>38</v>
      </c>
      <c r="B39" s="39">
        <f>+'[1]BlnSht(D)'!Y40</f>
        <v>6448970.317021277</v>
      </c>
      <c r="C39" s="34"/>
      <c r="D39" s="39"/>
      <c r="E39" s="39"/>
      <c r="F39" s="35">
        <f>+'[4]BlnSht'!$B38</f>
        <v>6461004</v>
      </c>
      <c r="G39" s="34"/>
      <c r="H39" s="36">
        <v>5440511</v>
      </c>
      <c r="J39" s="4">
        <v>6569389</v>
      </c>
      <c r="K39" s="38">
        <v>5440000</v>
      </c>
      <c r="M39" s="37">
        <f t="shared" si="0"/>
        <v>-12033.682978723198</v>
      </c>
      <c r="N39" s="5">
        <f t="shared" si="1"/>
        <v>-0.0018625097552521556</v>
      </c>
      <c r="T39" s="37"/>
    </row>
    <row r="40" spans="1:20" ht="16.5">
      <c r="A40" s="34" t="s">
        <v>39</v>
      </c>
      <c r="B40" s="48">
        <f>'[1]BlnSht(D)'!Y41</f>
        <v>50668</v>
      </c>
      <c r="C40" s="48"/>
      <c r="D40" s="48"/>
      <c r="E40" s="48"/>
      <c r="F40" s="35">
        <f>+'[4]BlnSht'!$B39</f>
        <v>55000</v>
      </c>
      <c r="G40" s="48"/>
      <c r="H40" s="36">
        <v>0</v>
      </c>
      <c r="J40" s="4">
        <v>0</v>
      </c>
      <c r="K40" s="36">
        <v>0</v>
      </c>
      <c r="M40" s="37">
        <f t="shared" si="0"/>
        <v>-4332</v>
      </c>
      <c r="N40" s="5">
        <f t="shared" si="1"/>
        <v>-0.07876363636363637</v>
      </c>
      <c r="T40" s="37"/>
    </row>
    <row r="41" spans="1:20" ht="16.5">
      <c r="A41" s="4" t="s">
        <v>40</v>
      </c>
      <c r="B41" s="4">
        <f>'[1]BlnSht(D)'!Y39</f>
        <v>771890.5700000001</v>
      </c>
      <c r="C41" s="4"/>
      <c r="D41" s="4"/>
      <c r="E41" s="4"/>
      <c r="F41" s="35">
        <f>+'[4]BlnSht'!$B40</f>
        <v>44326.04620164342</v>
      </c>
      <c r="G41" s="4"/>
      <c r="H41" s="36">
        <v>25289177</v>
      </c>
      <c r="J41" s="4">
        <v>533703</v>
      </c>
      <c r="K41" s="36">
        <v>25289000</v>
      </c>
      <c r="M41" s="37">
        <f t="shared" si="0"/>
        <v>727564.5237983566</v>
      </c>
      <c r="N41" s="5">
        <f t="shared" si="1"/>
        <v>16.413927840272425</v>
      </c>
      <c r="T41" s="37"/>
    </row>
    <row r="42" spans="1:20" ht="16.5" hidden="1">
      <c r="A42" s="48"/>
      <c r="B42" s="48"/>
      <c r="C42" s="48"/>
      <c r="D42" s="48"/>
      <c r="E42" s="48"/>
      <c r="F42" s="49"/>
      <c r="G42" s="48"/>
      <c r="H42" s="36"/>
      <c r="K42" s="36"/>
      <c r="T42" s="37"/>
    </row>
    <row r="43" spans="1:20" ht="16.5">
      <c r="A43" s="4"/>
      <c r="B43" s="4"/>
      <c r="C43" s="4"/>
      <c r="D43" s="4"/>
      <c r="E43" s="4"/>
      <c r="F43" s="35"/>
      <c r="G43" s="4"/>
      <c r="H43" s="36"/>
      <c r="K43" s="36"/>
      <c r="T43" s="37"/>
    </row>
    <row r="44" spans="1:21" ht="16.5">
      <c r="A44" s="4" t="s">
        <v>41</v>
      </c>
      <c r="B44" s="51">
        <f>SUM(B36:B43)</f>
        <v>50252248.91273943</v>
      </c>
      <c r="C44" s="4"/>
      <c r="D44" s="55"/>
      <c r="E44" s="57"/>
      <c r="F44" s="54">
        <f>SUM(F36:F43)</f>
        <v>45388839.4309198</v>
      </c>
      <c r="G44" s="4"/>
      <c r="H44" s="55">
        <f>SUM(H36:H43)</f>
        <v>101630896</v>
      </c>
      <c r="J44" s="55">
        <f>SUM(J36:J43)</f>
        <v>95680951</v>
      </c>
      <c r="K44" s="55">
        <f>SUM(K36:K43)</f>
        <v>101630000</v>
      </c>
      <c r="M44" s="37">
        <f>+B44-F44</f>
        <v>4863409.48181963</v>
      </c>
      <c r="N44" s="5">
        <f>+M44/F44</f>
        <v>0.10714989726101205</v>
      </c>
      <c r="T44" s="179"/>
      <c r="U44" s="5"/>
    </row>
    <row r="45" spans="1:20" ht="16.5">
      <c r="A45" s="4"/>
      <c r="B45" s="4"/>
      <c r="C45" s="4"/>
      <c r="D45" s="4"/>
      <c r="E45" s="4"/>
      <c r="F45" s="35"/>
      <c r="G45" s="4"/>
      <c r="H45" s="36"/>
      <c r="K45" s="36"/>
      <c r="T45" s="37"/>
    </row>
    <row r="46" spans="1:21" ht="16.5">
      <c r="A46" s="48" t="s">
        <v>42</v>
      </c>
      <c r="B46" s="4">
        <f>B33-B44</f>
        <v>92526127.14404392</v>
      </c>
      <c r="C46" s="48"/>
      <c r="D46" s="4"/>
      <c r="E46" s="4"/>
      <c r="F46" s="35">
        <f>+'[4]BlnSht'!$B$45</f>
        <v>88574811.30067551</v>
      </c>
      <c r="G46" s="48"/>
      <c r="H46" s="36">
        <f>H33-H44</f>
        <v>84841878</v>
      </c>
      <c r="J46" s="4">
        <f>J33-J44</f>
        <v>59340346</v>
      </c>
      <c r="K46" s="36">
        <f>K33-K44</f>
        <v>-35183000</v>
      </c>
      <c r="L46" s="37"/>
      <c r="M46" s="37">
        <f>+B46-F46</f>
        <v>3951315.843368411</v>
      </c>
      <c r="N46" s="58">
        <f>+M46/F46</f>
        <v>0.044609926742663876</v>
      </c>
      <c r="T46" s="37"/>
      <c r="U46" s="5"/>
    </row>
    <row r="47" spans="2:20" ht="16.5">
      <c r="B47" s="37"/>
      <c r="T47" s="37"/>
    </row>
    <row r="48" spans="2:20" ht="16.5">
      <c r="B48" s="59">
        <f>B46+B16</f>
        <v>199902571.3743379</v>
      </c>
      <c r="D48" s="59"/>
      <c r="E48" s="60"/>
      <c r="F48" s="61">
        <f>F46+F16</f>
        <v>198351730.47267544</v>
      </c>
      <c r="H48" s="59">
        <f>H46+H16</f>
        <v>151855570</v>
      </c>
      <c r="J48" s="59">
        <f>J46+J16</f>
        <v>183465105.1</v>
      </c>
      <c r="M48" s="37">
        <f>+B48-F48</f>
        <v>1550840.901662469</v>
      </c>
      <c r="N48" s="5">
        <f>+M48/F48</f>
        <v>0.007818640643904591</v>
      </c>
      <c r="T48" s="37"/>
    </row>
    <row r="49" spans="2:20" ht="16.5">
      <c r="B49" s="37"/>
      <c r="M49" s="37"/>
      <c r="T49" s="37"/>
    </row>
    <row r="50" spans="1:20" ht="16.5">
      <c r="A50" s="62" t="s">
        <v>43</v>
      </c>
      <c r="B50" s="62"/>
      <c r="C50" s="4"/>
      <c r="D50" s="4"/>
      <c r="E50" s="4"/>
      <c r="F50" s="35"/>
      <c r="G50" s="4"/>
      <c r="H50" s="36"/>
      <c r="K50" s="36"/>
      <c r="M50" s="63"/>
      <c r="T50" s="37"/>
    </row>
    <row r="51" spans="1:20" ht="16.5">
      <c r="A51" s="64" t="s">
        <v>44</v>
      </c>
      <c r="B51" s="4">
        <f>'[1]BlnSht(D)'!Y62</f>
        <v>100008300</v>
      </c>
      <c r="C51" s="4"/>
      <c r="D51" s="4"/>
      <c r="E51" s="4"/>
      <c r="F51" s="35">
        <f>+'[4]BlnSht'!$B50</f>
        <v>100008300</v>
      </c>
      <c r="G51" s="4"/>
      <c r="H51" s="36">
        <f>'[2]CF-1|2'!$V$53</f>
        <v>80000000</v>
      </c>
      <c r="J51" s="4">
        <v>100000000</v>
      </c>
      <c r="K51" s="36">
        <v>80000000</v>
      </c>
      <c r="M51" s="37">
        <f>+B51-F51</f>
        <v>0</v>
      </c>
      <c r="N51" s="5">
        <f>+M51/F51</f>
        <v>0</v>
      </c>
      <c r="T51" s="37"/>
    </row>
    <row r="52" spans="1:20" ht="16.5">
      <c r="A52" s="64" t="s">
        <v>45</v>
      </c>
      <c r="B52" s="4">
        <f>'[1]BlnSht(D)'!Y65</f>
        <v>16516683</v>
      </c>
      <c r="C52" s="4"/>
      <c r="D52" s="4"/>
      <c r="E52" s="4"/>
      <c r="F52" s="35">
        <f>+'[4]BlnSht'!$B51</f>
        <v>16516683</v>
      </c>
      <c r="G52" s="4"/>
      <c r="H52" s="36">
        <f>'[2]CF-1|2'!$V$55</f>
        <v>16500000</v>
      </c>
      <c r="J52" s="4">
        <v>16500000</v>
      </c>
      <c r="K52" s="38">
        <v>16500000</v>
      </c>
      <c r="M52" s="37">
        <f>+B52-F52</f>
        <v>0</v>
      </c>
      <c r="N52" s="5">
        <f>+M52/F52</f>
        <v>0</v>
      </c>
      <c r="T52" s="37"/>
    </row>
    <row r="53" spans="1:20" ht="16.5">
      <c r="A53" s="64" t="s">
        <v>46</v>
      </c>
      <c r="B53" s="4">
        <f>+'[1]BlnSht(D)'!Y66</f>
        <v>552384</v>
      </c>
      <c r="C53" s="4"/>
      <c r="D53" s="4"/>
      <c r="E53" s="4"/>
      <c r="F53" s="35">
        <v>0</v>
      </c>
      <c r="G53" s="4"/>
      <c r="H53" s="36"/>
      <c r="K53" s="38"/>
      <c r="M53" s="37"/>
      <c r="T53" s="37"/>
    </row>
    <row r="54" spans="1:21" ht="16.5">
      <c r="A54" s="64" t="s">
        <v>47</v>
      </c>
      <c r="B54" s="65">
        <f>'[1]BlnSht(D)'!Y67</f>
        <v>73779854.05362208</v>
      </c>
      <c r="C54" s="4"/>
      <c r="D54" s="66"/>
      <c r="E54" s="67"/>
      <c r="F54" s="65">
        <f>+'[4]BlnSht'!$B52</f>
        <v>70030706.40454498</v>
      </c>
      <c r="G54" s="4"/>
      <c r="H54" s="68">
        <v>46671380</v>
      </c>
      <c r="J54" s="66">
        <v>45484157</v>
      </c>
      <c r="K54" s="68">
        <v>46671000</v>
      </c>
      <c r="M54" s="37">
        <f>+B54-F54</f>
        <v>3749147.6490771025</v>
      </c>
      <c r="N54" s="58">
        <f>+M54/F54</f>
        <v>0.05353576797325842</v>
      </c>
      <c r="O54" s="37"/>
      <c r="T54" s="37"/>
      <c r="U54" s="5"/>
    </row>
    <row r="55" spans="1:20" ht="16.5">
      <c r="A55" s="64" t="s">
        <v>48</v>
      </c>
      <c r="B55" s="67">
        <f>SUM(B51:B54)</f>
        <v>190857221.05362207</v>
      </c>
      <c r="C55" s="67"/>
      <c r="D55" s="67"/>
      <c r="E55" s="67"/>
      <c r="F55" s="69">
        <f>SUM(F51:F54)</f>
        <v>186555689.40454498</v>
      </c>
      <c r="G55" s="4"/>
      <c r="H55" s="67">
        <f>SUM(H51:H54)</f>
        <v>143171380</v>
      </c>
      <c r="J55" s="67">
        <f>SUM(J51:J54)</f>
        <v>161984157</v>
      </c>
      <c r="K55" s="57"/>
      <c r="M55" s="37">
        <f>+B55-F55</f>
        <v>4301531.649077088</v>
      </c>
      <c r="N55" s="5">
        <f>+M55/F55</f>
        <v>0.023057627793646326</v>
      </c>
      <c r="T55" s="37"/>
    </row>
    <row r="56" spans="1:20" ht="16.5">
      <c r="A56" s="64" t="s">
        <v>49</v>
      </c>
      <c r="B56" s="33">
        <f>'[1]BlnSht(D)'!Y64</f>
        <v>0</v>
      </c>
      <c r="C56" s="4"/>
      <c r="D56" s="4"/>
      <c r="E56" s="4"/>
      <c r="F56" s="35">
        <f>+'[4]BlnSht'!$B$54</f>
        <v>227579</v>
      </c>
      <c r="G56" s="4"/>
      <c r="H56" s="36">
        <v>227579</v>
      </c>
      <c r="J56" s="4">
        <v>227579</v>
      </c>
      <c r="K56" s="36">
        <v>228000</v>
      </c>
      <c r="M56" s="37">
        <f>+B56-F56</f>
        <v>-227579</v>
      </c>
      <c r="N56" s="5">
        <f>+M56/F56</f>
        <v>-1</v>
      </c>
      <c r="T56" s="37"/>
    </row>
    <row r="57" spans="1:20" ht="16.5">
      <c r="A57" s="64" t="s">
        <v>50</v>
      </c>
      <c r="B57" s="4">
        <f>'[1]BlnSht(D)'!Y70</f>
        <v>3002406.5381118683</v>
      </c>
      <c r="C57" s="4"/>
      <c r="D57" s="4"/>
      <c r="E57" s="4"/>
      <c r="F57" s="35">
        <f>+'[4]BlnSht'!$B$55</f>
        <v>3928712.086270518</v>
      </c>
      <c r="G57" s="4"/>
      <c r="H57" s="36">
        <v>1286500</v>
      </c>
      <c r="J57" s="4">
        <v>788368.9900000007</v>
      </c>
      <c r="K57" s="36">
        <v>1286000</v>
      </c>
      <c r="M57" s="37">
        <f>+B57-F57</f>
        <v>-926305.5481586498</v>
      </c>
      <c r="N57" s="5">
        <f>+M57/F57</f>
        <v>-0.2357784250456442</v>
      </c>
      <c r="T57" s="37"/>
    </row>
    <row r="58" spans="1:21" ht="16.5">
      <c r="A58" s="64" t="s">
        <v>51</v>
      </c>
      <c r="B58" s="51">
        <f>SUM(B55:B57)</f>
        <v>193859627.59173393</v>
      </c>
      <c r="C58" s="4"/>
      <c r="D58" s="55"/>
      <c r="E58" s="57"/>
      <c r="F58" s="54">
        <f>SUM(F55:F57)</f>
        <v>190711980.4908155</v>
      </c>
      <c r="G58" s="4"/>
      <c r="H58" s="55">
        <f>SUM(H55:H57)</f>
        <v>144685459</v>
      </c>
      <c r="J58" s="55">
        <f>SUM(J55:J57)</f>
        <v>163000104.99</v>
      </c>
      <c r="K58" s="36">
        <f>SUM(K51:K57)</f>
        <v>144685000</v>
      </c>
      <c r="M58" s="37">
        <f>+B58-F58</f>
        <v>3147647.100918442</v>
      </c>
      <c r="N58" s="5">
        <f>+M58/F58</f>
        <v>0.016504716131716904</v>
      </c>
      <c r="T58" s="37"/>
      <c r="U58" s="5"/>
    </row>
    <row r="59" spans="1:20" ht="16.5">
      <c r="A59" s="4"/>
      <c r="B59" s="70"/>
      <c r="C59" s="4"/>
      <c r="D59" s="4"/>
      <c r="E59" s="4"/>
      <c r="F59" s="35"/>
      <c r="G59" s="4"/>
      <c r="H59" s="36"/>
      <c r="J59" s="57"/>
      <c r="K59" s="36"/>
      <c r="T59" s="37"/>
    </row>
    <row r="60" spans="1:20" ht="16.5">
      <c r="A60" s="71" t="s">
        <v>52</v>
      </c>
      <c r="B60" s="4"/>
      <c r="C60" s="4"/>
      <c r="D60" s="4"/>
      <c r="E60" s="4"/>
      <c r="F60" s="35"/>
      <c r="G60" s="4"/>
      <c r="H60" s="36"/>
      <c r="K60" s="36"/>
      <c r="T60" s="37"/>
    </row>
    <row r="61" spans="1:20" ht="16.5">
      <c r="A61" s="72" t="s">
        <v>53</v>
      </c>
      <c r="B61" s="4">
        <f>-'[1]BlnSht(D)'!Y56-'[1]BlnSht(D)'!Y53</f>
        <v>3925963.8329787236</v>
      </c>
      <c r="C61" s="4"/>
      <c r="D61" s="4"/>
      <c r="E61" s="4"/>
      <c r="F61" s="35">
        <f>+'[4]BlnSht'!$B59</f>
        <v>5522770</v>
      </c>
      <c r="G61" s="4"/>
      <c r="H61" s="36">
        <v>2569111</v>
      </c>
      <c r="J61" s="4">
        <v>11250000</v>
      </c>
      <c r="K61" s="38">
        <v>-2569000</v>
      </c>
      <c r="M61" s="37">
        <f>+B61-F61</f>
        <v>-1596806.1670212764</v>
      </c>
      <c r="N61" s="5">
        <f>+M61/F61</f>
        <v>-0.2891313900490653</v>
      </c>
      <c r="T61" s="37"/>
    </row>
    <row r="62" spans="1:20" ht="16.5">
      <c r="A62" s="72" t="s">
        <v>54</v>
      </c>
      <c r="B62" s="35">
        <f>-'[1]BlnSht(D)'!Y55</f>
        <v>2116979.97972</v>
      </c>
      <c r="C62" s="35"/>
      <c r="D62" s="35"/>
      <c r="E62" s="35"/>
      <c r="F62" s="35">
        <f>+'[4]BlnSht'!$B60</f>
        <v>2116979.97972</v>
      </c>
      <c r="G62" s="4"/>
      <c r="H62" s="36">
        <v>4601000</v>
      </c>
      <c r="J62" s="4">
        <v>9215000</v>
      </c>
      <c r="K62" s="36">
        <v>-4601000</v>
      </c>
      <c r="L62" s="37"/>
      <c r="M62" s="37">
        <f>+B62-F62</f>
        <v>0</v>
      </c>
      <c r="N62" s="5">
        <f>+M62/F62</f>
        <v>0</v>
      </c>
      <c r="T62" s="37"/>
    </row>
    <row r="63" spans="1:20" ht="16.5">
      <c r="A63" s="4" t="s">
        <v>55</v>
      </c>
      <c r="B63" s="51">
        <f>SUM(B61:B62)</f>
        <v>6042943.812698724</v>
      </c>
      <c r="D63" s="51"/>
      <c r="E63" s="70"/>
      <c r="F63" s="54">
        <f>SUM(F61:F62)</f>
        <v>7639749.97972</v>
      </c>
      <c r="H63" s="51">
        <f>SUM(H61:H62)</f>
        <v>7170111</v>
      </c>
      <c r="J63" s="51">
        <f>SUM(J61:J62)</f>
        <v>20465000</v>
      </c>
      <c r="M63" s="37">
        <f>+B63-F63</f>
        <v>-1596806.1670212764</v>
      </c>
      <c r="N63" s="5">
        <f>+M63/F63</f>
        <v>-0.209012882785439</v>
      </c>
      <c r="T63" s="37"/>
    </row>
    <row r="64" spans="1:20" ht="16.5">
      <c r="A64" s="4"/>
      <c r="B64" s="37"/>
      <c r="T64" s="37"/>
    </row>
    <row r="65" spans="1:20" ht="17.25" thickBot="1">
      <c r="A65" s="4"/>
      <c r="B65" s="73">
        <f>B58+B63</f>
        <v>199902571.40443265</v>
      </c>
      <c r="C65" s="4"/>
      <c r="D65" s="74"/>
      <c r="E65" s="75"/>
      <c r="F65" s="76">
        <f>F58+F63</f>
        <v>198351730.4705355</v>
      </c>
      <c r="G65" s="4"/>
      <c r="H65" s="74">
        <f>H58+H63</f>
        <v>151855570</v>
      </c>
      <c r="J65" s="74">
        <f>J58+J63</f>
        <v>183465104.99</v>
      </c>
      <c r="K65" s="77">
        <f>SUM(K58:K62)</f>
        <v>137515000</v>
      </c>
      <c r="T65" s="37"/>
    </row>
    <row r="66" spans="2:17" ht="17.25" thickTop="1">
      <c r="B66" s="56"/>
      <c r="C66" s="4"/>
      <c r="D66" s="4"/>
      <c r="E66" s="4"/>
      <c r="F66" s="35"/>
      <c r="G66" s="4"/>
      <c r="H66" s="4"/>
      <c r="I66" s="4"/>
      <c r="K66" s="4" t="e">
        <f>#REF!-K65</f>
        <v>#REF!</v>
      </c>
      <c r="N66" s="5" t="s">
        <v>56</v>
      </c>
      <c r="O66" s="3" t="s">
        <v>57</v>
      </c>
      <c r="P66" s="3" t="s">
        <v>58</v>
      </c>
      <c r="Q66" s="3" t="s">
        <v>59</v>
      </c>
    </row>
    <row r="67" spans="1:17" ht="16.5">
      <c r="A67" s="3" t="s">
        <v>60</v>
      </c>
      <c r="B67" s="78">
        <f>B58/B51</f>
        <v>1.9384353857803196</v>
      </c>
      <c r="C67" s="78"/>
      <c r="D67" s="78"/>
      <c r="E67" s="78"/>
      <c r="F67" s="78">
        <f>F58/F51</f>
        <v>1.9069615271014055</v>
      </c>
      <c r="G67" s="78"/>
      <c r="H67" s="78">
        <f>(H58-H12)/H51</f>
        <v>1.7559087625</v>
      </c>
      <c r="I67" s="78"/>
      <c r="J67" s="78">
        <f>(J58-J12)/100000000</f>
        <v>1.5672500399</v>
      </c>
      <c r="K67" s="78">
        <f>(K58-K12)/80000000</f>
        <v>1.7559</v>
      </c>
      <c r="N67" s="5">
        <f>+O67-Q67</f>
        <v>181485648.97123337</v>
      </c>
      <c r="O67" s="37">
        <f>+B48-B63</f>
        <v>193859627.5616392</v>
      </c>
      <c r="Q67" s="37">
        <f>+B11+B12+B56+B57</f>
        <v>12373978.59040581</v>
      </c>
    </row>
    <row r="68" spans="2:17" ht="16.5">
      <c r="B68" s="56"/>
      <c r="D68" s="56"/>
      <c r="E68" s="56"/>
      <c r="F68" s="79"/>
      <c r="J68" s="4">
        <v>156725003.99</v>
      </c>
      <c r="N68" s="5">
        <f>+N67-B68</f>
        <v>181485648.97123337</v>
      </c>
      <c r="O68" s="37">
        <f>+F48-F63</f>
        <v>190711980.49295545</v>
      </c>
      <c r="Q68" s="37">
        <f>+F11+F12+F56+F57</f>
        <v>12965190.227270521</v>
      </c>
    </row>
    <row r="69" spans="2:10" ht="16.5">
      <c r="B69" s="80"/>
      <c r="J69" s="4">
        <v>0.10999998450279236</v>
      </c>
    </row>
    <row r="70" spans="2:6" ht="16.5">
      <c r="B70" s="36"/>
      <c r="F70" s="81"/>
    </row>
    <row r="71" ht="16.5">
      <c r="B71" s="80"/>
    </row>
    <row r="72" spans="2:13" ht="16.5">
      <c r="B72" s="82"/>
      <c r="D72" s="37"/>
      <c r="E72" s="37"/>
      <c r="F72" s="83"/>
      <c r="M72" s="37">
        <f>+F72-25126743</f>
        <v>-25126743</v>
      </c>
    </row>
    <row r="73" spans="2:6" ht="16.5">
      <c r="B73" s="84">
        <f>+B48-B65</f>
        <v>-0.03009474277496338</v>
      </c>
      <c r="D73" s="5"/>
      <c r="E73" s="5"/>
      <c r="F73" s="84">
        <f>+F48-F65</f>
        <v>0.002139955759048462</v>
      </c>
    </row>
    <row r="74" spans="4:6" ht="16.5">
      <c r="D74" s="5"/>
      <c r="E74" s="5"/>
      <c r="F74" s="85"/>
    </row>
    <row r="77" ht="16.5">
      <c r="B77" s="63"/>
    </row>
    <row r="78" ht="16.5">
      <c r="B78" s="63"/>
    </row>
    <row r="79" ht="16.5">
      <c r="B79" s="63"/>
    </row>
  </sheetData>
  <printOptions horizontalCentered="1"/>
  <pageMargins left="0.58" right="0.75" top="0.56" bottom="1" header="0.34" footer="0.54"/>
  <pageSetup fitToHeight="1" fitToWidth="1" horizontalDpi="300" verticalDpi="300" orientation="portrait" paperSize="9" scale="84" r:id="rId1"/>
  <headerFooter alignWithMargins="0">
    <oddFooter>&amp;C&amp;"Book Antiqua,Bold Italic"&amp;10The Condensed Consolidated Balance Sheets should be read in conjunction with the  Audited Accounts for the year ended 31/12/2005. The document forms part of  unaudited quarterly announcement for quarter ended 31/3/2006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75" zoomScaleNormal="75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9" sqref="B39"/>
    </sheetView>
  </sheetViews>
  <sheetFormatPr defaultColWidth="9.00390625" defaultRowHeight="16.5"/>
  <cols>
    <col min="1" max="1" width="45.00390625" style="87" customWidth="1"/>
    <col min="2" max="2" width="16.75390625" style="87" customWidth="1"/>
    <col min="3" max="3" width="2.50390625" style="87" customWidth="1"/>
    <col min="4" max="4" width="15.125" style="87" bestFit="1" customWidth="1"/>
    <col min="5" max="5" width="2.50390625" style="87" hidden="1" customWidth="1"/>
    <col min="6" max="6" width="15.625" style="87" hidden="1" customWidth="1"/>
    <col min="7" max="7" width="2.50390625" style="87" hidden="1" customWidth="1"/>
    <col min="8" max="8" width="15.875" style="87" hidden="1" customWidth="1"/>
    <col min="9" max="9" width="2.50390625" style="87" customWidth="1"/>
    <col min="10" max="10" width="14.625" style="87" customWidth="1"/>
    <col min="11" max="11" width="3.125" style="87" customWidth="1"/>
    <col min="12" max="12" width="15.375" style="88" customWidth="1"/>
    <col min="13" max="13" width="1.625" style="87" customWidth="1"/>
    <col min="14" max="14" width="14.375" style="87" customWidth="1"/>
    <col min="15" max="15" width="13.625" style="88" customWidth="1"/>
    <col min="16" max="16384" width="9.00390625" style="87" customWidth="1"/>
  </cols>
  <sheetData>
    <row r="1" spans="1:9" ht="15.75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spans="1:9" ht="15.75">
      <c r="A2" s="89" t="s">
        <v>61</v>
      </c>
      <c r="B2" s="89"/>
      <c r="C2" s="89"/>
      <c r="D2" s="89"/>
      <c r="E2" s="89"/>
      <c r="F2" s="89"/>
      <c r="G2" s="89"/>
      <c r="H2" s="89"/>
      <c r="I2" s="89"/>
    </row>
    <row r="3" spans="1:9" ht="15.75">
      <c r="A3" s="86" t="s">
        <v>62</v>
      </c>
      <c r="B3" s="89"/>
      <c r="C3" s="89"/>
      <c r="D3" s="88"/>
      <c r="E3" s="89"/>
      <c r="F3" s="89"/>
      <c r="G3" s="89"/>
      <c r="H3" s="89"/>
      <c r="I3" s="89"/>
    </row>
    <row r="4" spans="1:15" ht="15.75">
      <c r="A4" s="88"/>
      <c r="B4" s="88"/>
      <c r="C4" s="88"/>
      <c r="D4" s="90"/>
      <c r="E4" s="88"/>
      <c r="F4" s="91" t="s">
        <v>63</v>
      </c>
      <c r="G4" s="91"/>
      <c r="H4" s="91"/>
      <c r="I4" s="88"/>
      <c r="L4" s="92"/>
      <c r="O4" s="93"/>
    </row>
    <row r="5" spans="1:13" ht="15.75">
      <c r="A5" s="94"/>
      <c r="B5" s="95">
        <v>2006</v>
      </c>
      <c r="C5" s="96"/>
      <c r="D5" s="95">
        <v>2005</v>
      </c>
      <c r="E5" s="96"/>
      <c r="F5" s="97">
        <v>2006</v>
      </c>
      <c r="G5" s="98"/>
      <c r="H5" s="97">
        <v>2005</v>
      </c>
      <c r="I5" s="96"/>
      <c r="J5" s="95">
        <v>2006</v>
      </c>
      <c r="K5" s="96"/>
      <c r="L5" s="95">
        <v>2005</v>
      </c>
      <c r="M5" s="99"/>
    </row>
    <row r="6" spans="1:13" ht="57" customHeight="1">
      <c r="A6" s="100"/>
      <c r="B6" s="101" t="s">
        <v>64</v>
      </c>
      <c r="C6" s="102"/>
      <c r="D6" s="101" t="s">
        <v>65</v>
      </c>
      <c r="E6" s="102"/>
      <c r="F6" s="101" t="s">
        <v>66</v>
      </c>
      <c r="G6" s="102"/>
      <c r="H6" s="101" t="s">
        <v>66</v>
      </c>
      <c r="I6" s="102"/>
      <c r="J6" s="103" t="s">
        <v>67</v>
      </c>
      <c r="K6" s="104"/>
      <c r="L6" s="103" t="s">
        <v>67</v>
      </c>
      <c r="M6" s="104"/>
    </row>
    <row r="7" spans="1:13" ht="15.75">
      <c r="A7" s="100"/>
      <c r="B7" s="105" t="s">
        <v>9</v>
      </c>
      <c r="C7" s="106"/>
      <c r="D7" s="106" t="s">
        <v>9</v>
      </c>
      <c r="E7" s="106"/>
      <c r="F7" s="106" t="s">
        <v>9</v>
      </c>
      <c r="G7" s="106"/>
      <c r="H7" s="106" t="s">
        <v>9</v>
      </c>
      <c r="I7" s="106"/>
      <c r="J7" s="105" t="s">
        <v>9</v>
      </c>
      <c r="K7" s="107"/>
      <c r="L7" s="108" t="s">
        <v>9</v>
      </c>
      <c r="M7" s="107"/>
    </row>
    <row r="8" spans="1:9" ht="15.75">
      <c r="A8" s="100"/>
      <c r="B8" s="100"/>
      <c r="C8" s="100"/>
      <c r="D8" s="100"/>
      <c r="E8" s="100"/>
      <c r="F8" s="100"/>
      <c r="G8" s="100"/>
      <c r="H8" s="100"/>
      <c r="I8" s="100"/>
    </row>
    <row r="9" spans="1:14" ht="15.75">
      <c r="A9" s="109" t="s">
        <v>68</v>
      </c>
      <c r="B9" s="110">
        <f>+J9-F9</f>
        <v>74441132.68</v>
      </c>
      <c r="C9" s="100"/>
      <c r="D9" s="100">
        <f>L9-H9</f>
        <v>71068513</v>
      </c>
      <c r="E9" s="100"/>
      <c r="F9" s="100"/>
      <c r="G9" s="100"/>
      <c r="H9" s="100"/>
      <c r="I9" s="100"/>
      <c r="J9" s="100">
        <f>'[1]YSt(Sum)'!X10</f>
        <v>74441132.68</v>
      </c>
      <c r="K9" s="111"/>
      <c r="L9" s="100">
        <v>71068513</v>
      </c>
      <c r="M9" s="111"/>
      <c r="N9" s="88"/>
    </row>
    <row r="10" spans="1:14" ht="15.75">
      <c r="A10" s="109" t="s">
        <v>69</v>
      </c>
      <c r="B10" s="110">
        <f>+J10-F10</f>
        <v>4626.34</v>
      </c>
      <c r="C10" s="100"/>
      <c r="D10" s="100">
        <f>L10-H10</f>
        <v>19038</v>
      </c>
      <c r="E10" s="100"/>
      <c r="F10" s="100"/>
      <c r="G10" s="100"/>
      <c r="H10" s="100"/>
      <c r="I10" s="100"/>
      <c r="J10" s="100">
        <f>'[1]YSt(Sum)'!X13</f>
        <v>4626.34</v>
      </c>
      <c r="L10" s="100">
        <v>19038</v>
      </c>
      <c r="N10" s="88"/>
    </row>
    <row r="11" spans="1:14" ht="15.75">
      <c r="A11" s="109" t="s">
        <v>70</v>
      </c>
      <c r="B11" s="112">
        <f>SUM(B9:B10)</f>
        <v>74445759.02000001</v>
      </c>
      <c r="C11" s="100"/>
      <c r="D11" s="112">
        <f>SUM(D9:D10)</f>
        <v>71087551</v>
      </c>
      <c r="E11" s="100"/>
      <c r="F11" s="112">
        <f>SUM(F9:F10)</f>
        <v>0</v>
      </c>
      <c r="G11" s="100"/>
      <c r="H11" s="112">
        <f>SUM(H9:H10)</f>
        <v>0</v>
      </c>
      <c r="I11" s="100"/>
      <c r="J11" s="113">
        <f>SUM(J9:J10)</f>
        <v>74445759.02000001</v>
      </c>
      <c r="L11" s="113">
        <f>SUM(L9:L10)</f>
        <v>71087551</v>
      </c>
      <c r="N11" s="88"/>
    </row>
    <row r="12" spans="1:14" ht="15.75">
      <c r="A12" s="109"/>
      <c r="C12" s="100"/>
      <c r="D12" s="100"/>
      <c r="E12" s="100"/>
      <c r="F12" s="100"/>
      <c r="G12" s="100"/>
      <c r="H12" s="100"/>
      <c r="I12" s="100"/>
      <c r="J12" s="100"/>
      <c r="L12" s="114"/>
      <c r="N12" s="88"/>
    </row>
    <row r="13" spans="1:14" ht="15.75">
      <c r="A13" s="109" t="s">
        <v>71</v>
      </c>
      <c r="B13" s="110">
        <f aca="true" t="shared" si="0" ref="B13:B21">+J13-F13</f>
        <v>-14192192.514091361</v>
      </c>
      <c r="C13" s="100"/>
      <c r="D13" s="100">
        <f aca="true" t="shared" si="1" ref="D13:D21">L13-H13</f>
        <v>-12523136</v>
      </c>
      <c r="E13" s="100"/>
      <c r="F13" s="100"/>
      <c r="G13" s="100"/>
      <c r="H13" s="100"/>
      <c r="I13" s="100"/>
      <c r="J13" s="115">
        <f>-('[1]YSt(D)'!N31+'[1]YSt(D)'!N94)+'[1]YSt(D)'!N84</f>
        <v>-14192192.514091361</v>
      </c>
      <c r="L13" s="114">
        <v>-12523136</v>
      </c>
      <c r="N13" s="88"/>
    </row>
    <row r="14" spans="1:14" ht="15.75">
      <c r="A14" s="109" t="s">
        <v>72</v>
      </c>
      <c r="B14" s="110">
        <f t="shared" si="0"/>
        <v>-6982382.380000001</v>
      </c>
      <c r="C14" s="100"/>
      <c r="D14" s="100">
        <f t="shared" si="1"/>
        <v>-10498070</v>
      </c>
      <c r="E14" s="100"/>
      <c r="F14" s="100"/>
      <c r="G14" s="100"/>
      <c r="H14" s="100"/>
      <c r="I14" s="100"/>
      <c r="J14" s="115">
        <f>-'[1]YSt(D)'!N35</f>
        <v>-6982382.380000001</v>
      </c>
      <c r="L14" s="114">
        <v>-10498070</v>
      </c>
      <c r="N14" s="88"/>
    </row>
    <row r="15" spans="1:14" ht="15.75">
      <c r="A15" s="109" t="s">
        <v>73</v>
      </c>
      <c r="B15" s="110">
        <f t="shared" si="0"/>
        <v>-12315848.650000002</v>
      </c>
      <c r="C15" s="100"/>
      <c r="D15" s="100">
        <f t="shared" si="1"/>
        <v>-11175403</v>
      </c>
      <c r="E15" s="100"/>
      <c r="F15" s="100"/>
      <c r="G15" s="100"/>
      <c r="H15" s="100"/>
      <c r="I15" s="100"/>
      <c r="J15" s="115">
        <f>-'[1]YSt(D)'!N37</f>
        <v>-12315848.650000002</v>
      </c>
      <c r="L15" s="114">
        <v>-11175403</v>
      </c>
      <c r="N15" s="88"/>
    </row>
    <row r="16" spans="1:14" ht="15.75">
      <c r="A16" s="109" t="s">
        <v>74</v>
      </c>
      <c r="B16" s="110">
        <f t="shared" si="0"/>
        <v>-2380411.02</v>
      </c>
      <c r="C16" s="100"/>
      <c r="D16" s="100">
        <f t="shared" si="1"/>
        <v>-1756287</v>
      </c>
      <c r="E16" s="100"/>
      <c r="F16" s="100"/>
      <c r="G16" s="100"/>
      <c r="H16" s="100"/>
      <c r="I16" s="100"/>
      <c r="J16" s="115">
        <f>-'[1]YSt(D)'!N54</f>
        <v>-2380411.02</v>
      </c>
      <c r="L16" s="116">
        <v>-1756287</v>
      </c>
      <c r="N16" s="88"/>
    </row>
    <row r="17" spans="1:14" ht="15.75" hidden="1">
      <c r="A17" s="109" t="s">
        <v>75</v>
      </c>
      <c r="B17" s="110">
        <f t="shared" si="0"/>
        <v>0</v>
      </c>
      <c r="C17" s="100"/>
      <c r="D17" s="100">
        <f t="shared" si="1"/>
        <v>0</v>
      </c>
      <c r="E17" s="100"/>
      <c r="F17" s="100"/>
      <c r="G17" s="100"/>
      <c r="H17" s="100"/>
      <c r="I17" s="100"/>
      <c r="J17" s="115">
        <v>0</v>
      </c>
      <c r="L17" s="116">
        <v>0</v>
      </c>
      <c r="N17" s="88"/>
    </row>
    <row r="18" spans="1:14" ht="15.75">
      <c r="A18" s="109" t="s">
        <v>76</v>
      </c>
      <c r="B18" s="110">
        <f t="shared" si="0"/>
        <v>-4769535.679</v>
      </c>
      <c r="C18" s="100"/>
      <c r="D18" s="100">
        <f t="shared" si="1"/>
        <v>-5313858</v>
      </c>
      <c r="E18" s="100"/>
      <c r="F18" s="100"/>
      <c r="G18" s="100"/>
      <c r="H18" s="100"/>
      <c r="I18" s="100"/>
      <c r="J18" s="115">
        <f>-'[1]YSt(D)'!N45-'[1]YSt(D)'!N140</f>
        <v>-4769535.679</v>
      </c>
      <c r="L18" s="116">
        <v>-5313858</v>
      </c>
      <c r="N18" s="88"/>
    </row>
    <row r="19" spans="1:14" ht="15.75">
      <c r="A19" s="109" t="s">
        <v>77</v>
      </c>
      <c r="B19" s="110">
        <f t="shared" si="0"/>
        <v>-172681.98</v>
      </c>
      <c r="C19" s="100"/>
      <c r="D19" s="100">
        <f t="shared" si="1"/>
        <v>-299313</v>
      </c>
      <c r="E19" s="100"/>
      <c r="F19" s="100"/>
      <c r="G19" s="100"/>
      <c r="H19" s="100"/>
      <c r="I19" s="100"/>
      <c r="J19" s="115">
        <f>-+'[1]YSt(D)'!N50</f>
        <v>-172681.98</v>
      </c>
      <c r="L19" s="114">
        <v>-299313</v>
      </c>
      <c r="N19" s="88"/>
    </row>
    <row r="20" spans="1:14" ht="15.75">
      <c r="A20" s="109" t="s">
        <v>78</v>
      </c>
      <c r="B20" s="110">
        <f t="shared" si="0"/>
        <v>-5172428.990000001</v>
      </c>
      <c r="C20" s="100"/>
      <c r="D20" s="100">
        <f t="shared" si="1"/>
        <v>-6537178</v>
      </c>
      <c r="E20" s="100"/>
      <c r="F20" s="100"/>
      <c r="G20" s="100"/>
      <c r="H20" s="100"/>
      <c r="I20" s="100"/>
      <c r="J20" s="115">
        <f>-'[1]YSt(D)'!N52</f>
        <v>-5172428.990000001</v>
      </c>
      <c r="L20" s="114">
        <v>-6537178</v>
      </c>
      <c r="N20" s="88"/>
    </row>
    <row r="21" spans="1:14" ht="15.75">
      <c r="A21" s="109" t="s">
        <v>79</v>
      </c>
      <c r="B21" s="110">
        <f t="shared" si="0"/>
        <v>-23074123.163659386</v>
      </c>
      <c r="C21" s="100"/>
      <c r="D21" s="100">
        <f t="shared" si="1"/>
        <v>-16396807</v>
      </c>
      <c r="E21" s="100"/>
      <c r="F21" s="100"/>
      <c r="G21" s="100"/>
      <c r="H21" s="100"/>
      <c r="I21" s="100"/>
      <c r="J21" s="100">
        <f>'[1]YSt(Sum)'!X11+'[1]YSt(Sum)'!X17+'[1]YSt(Sum)'!X18+'[1]YSt(Sum)'!X19+'[1]YSt(Sum)'!X20-J19-J18-J15-J14-J13-J16-J20</f>
        <v>-23074123.163659386</v>
      </c>
      <c r="L21" s="114">
        <f>-23233298-L20-L19</f>
        <v>-16396807</v>
      </c>
      <c r="N21" s="88"/>
    </row>
    <row r="22" spans="1:14" ht="15.75" hidden="1">
      <c r="A22" s="109" t="s">
        <v>80</v>
      </c>
      <c r="B22" s="113">
        <f>SUM(B13:B21)</f>
        <v>-69059604.37675074</v>
      </c>
      <c r="C22" s="100"/>
      <c r="D22" s="113">
        <f>SUM(D13:D21)</f>
        <v>-64500052</v>
      </c>
      <c r="E22" s="100"/>
      <c r="F22" s="113">
        <f>SUM(F13:F21)</f>
        <v>0</v>
      </c>
      <c r="G22" s="100"/>
      <c r="H22" s="113">
        <f>SUM(H13:H21)</f>
        <v>0</v>
      </c>
      <c r="I22" s="100"/>
      <c r="J22" s="117">
        <f>SUM(J13:J21)</f>
        <v>-69059604.37675074</v>
      </c>
      <c r="L22" s="113">
        <f>SUM(L13:L21)</f>
        <v>-64500052</v>
      </c>
      <c r="N22" s="88"/>
    </row>
    <row r="23" spans="1:14" ht="15.75" hidden="1">
      <c r="A23" s="109"/>
      <c r="C23" s="100"/>
      <c r="D23" s="100"/>
      <c r="E23" s="100"/>
      <c r="F23" s="100"/>
      <c r="G23" s="100"/>
      <c r="H23" s="100"/>
      <c r="I23" s="100"/>
      <c r="J23" s="94"/>
      <c r="L23" s="118"/>
      <c r="N23" s="88"/>
    </row>
    <row r="24" spans="1:14" ht="15.75" hidden="1">
      <c r="A24" s="109" t="s">
        <v>81</v>
      </c>
      <c r="B24" s="110">
        <f>+J24-F24</f>
        <v>5386154.643249273</v>
      </c>
      <c r="C24" s="100"/>
      <c r="D24" s="100">
        <f>D11+D22</f>
        <v>6587499</v>
      </c>
      <c r="E24" s="100"/>
      <c r="F24" s="100"/>
      <c r="G24" s="100"/>
      <c r="H24" s="100"/>
      <c r="I24" s="100"/>
      <c r="J24" s="88">
        <f>J11+J22</f>
        <v>5386154.643249273</v>
      </c>
      <c r="L24" s="88">
        <f>L11+L22</f>
        <v>6587499</v>
      </c>
      <c r="N24" s="88"/>
    </row>
    <row r="25" spans="1:14" ht="15.75">
      <c r="A25" s="109" t="s">
        <v>82</v>
      </c>
      <c r="B25" s="110">
        <f>+J25-F25</f>
        <v>-563390.7599553127</v>
      </c>
      <c r="C25" s="100"/>
      <c r="D25" s="100">
        <f>L25-H25</f>
        <v>-571458</v>
      </c>
      <c r="E25" s="100"/>
      <c r="F25" s="100"/>
      <c r="G25" s="100"/>
      <c r="H25" s="100"/>
      <c r="I25" s="100"/>
      <c r="J25" s="100">
        <f>'[1]YSt(Sum)'!X22</f>
        <v>-563390.7599553127</v>
      </c>
      <c r="L25" s="114">
        <v>-571458</v>
      </c>
      <c r="N25" s="88"/>
    </row>
    <row r="26" spans="1:14" ht="15.75">
      <c r="A26" s="109" t="s">
        <v>83</v>
      </c>
      <c r="B26" s="110">
        <f>+J26-F26</f>
        <v>0</v>
      </c>
      <c r="C26" s="100"/>
      <c r="D26" s="100">
        <f>L26-H26</f>
        <v>-26750</v>
      </c>
      <c r="E26" s="100"/>
      <c r="F26" s="100"/>
      <c r="G26" s="100"/>
      <c r="H26" s="100"/>
      <c r="I26" s="100"/>
      <c r="J26" s="100">
        <f>'[1]YSt(Sum)'!X24</f>
        <v>0</v>
      </c>
      <c r="K26" s="111"/>
      <c r="L26" s="119">
        <v>-26750</v>
      </c>
      <c r="M26" s="111"/>
      <c r="N26" s="88"/>
    </row>
    <row r="27" spans="1:14" ht="15.75">
      <c r="A27" s="87" t="s">
        <v>84</v>
      </c>
      <c r="B27" s="120">
        <f>+J27-F27</f>
        <v>476280.6299999999</v>
      </c>
      <c r="D27" s="120">
        <f>L27-H27</f>
        <v>684974</v>
      </c>
      <c r="F27" s="117"/>
      <c r="H27" s="117"/>
      <c r="J27" s="117">
        <f>'[1]YSt(Sum)'!X14</f>
        <v>476280.6299999999</v>
      </c>
      <c r="L27" s="121">
        <v>684974</v>
      </c>
      <c r="N27" s="88"/>
    </row>
    <row r="28" spans="1:14" ht="15.75">
      <c r="A28" s="109" t="s">
        <v>85</v>
      </c>
      <c r="B28" s="110">
        <f>SUM(B24:B27)</f>
        <v>5299044.51329396</v>
      </c>
      <c r="C28" s="100"/>
      <c r="D28" s="110">
        <f>SUM(D24:D27)</f>
        <v>6674265</v>
      </c>
      <c r="E28" s="100"/>
      <c r="F28" s="110">
        <f>SUM(F24:F27)</f>
        <v>0</v>
      </c>
      <c r="G28" s="100"/>
      <c r="H28" s="110">
        <f>SUM(H24:H27)</f>
        <v>0</v>
      </c>
      <c r="I28" s="100"/>
      <c r="J28" s="110">
        <f>SUM(J24:J27)</f>
        <v>5299044.51329396</v>
      </c>
      <c r="L28" s="110">
        <f>SUM(L24:L27)</f>
        <v>6674265</v>
      </c>
      <c r="N28" s="88"/>
    </row>
    <row r="29" spans="1:14" ht="15.75">
      <c r="A29" s="109" t="s">
        <v>40</v>
      </c>
      <c r="B29" s="120">
        <f>+J29-F29</f>
        <v>-1506110.8399999999</v>
      </c>
      <c r="C29" s="100"/>
      <c r="D29" s="117">
        <f>L29-H29</f>
        <v>-1996607</v>
      </c>
      <c r="E29" s="100"/>
      <c r="F29" s="117"/>
      <c r="G29" s="100"/>
      <c r="H29" s="117"/>
      <c r="I29" s="100"/>
      <c r="J29" s="117">
        <f>'[1]YSt(Sum)'!X26</f>
        <v>-1506110.8399999999</v>
      </c>
      <c r="L29" s="122">
        <v>-1996607</v>
      </c>
      <c r="N29" s="88"/>
    </row>
    <row r="30" spans="1:14" ht="16.5" thickBot="1">
      <c r="A30" s="123" t="s">
        <v>86</v>
      </c>
      <c r="B30" s="124">
        <f>SUM(B28:B29)</f>
        <v>3792933.6732939603</v>
      </c>
      <c r="C30" s="88"/>
      <c r="D30" s="124">
        <f>SUM(D28:D29)</f>
        <v>4677658</v>
      </c>
      <c r="E30" s="88"/>
      <c r="F30" s="124">
        <f>SUM(F28:F29)</f>
        <v>0</v>
      </c>
      <c r="G30" s="88"/>
      <c r="H30" s="124">
        <f>SUM(H28:H29)</f>
        <v>0</v>
      </c>
      <c r="I30" s="88"/>
      <c r="J30" s="125">
        <f>SUM(J28:J29)</f>
        <v>3792933.6732939603</v>
      </c>
      <c r="L30" s="125">
        <f>SUM(L28:L29)</f>
        <v>4677658</v>
      </c>
      <c r="N30" s="88"/>
    </row>
    <row r="31" spans="1:14" ht="15.75">
      <c r="A31" s="123"/>
      <c r="B31" s="126"/>
      <c r="C31" s="88"/>
      <c r="D31" s="126"/>
      <c r="E31" s="88"/>
      <c r="F31" s="126"/>
      <c r="G31" s="88"/>
      <c r="H31" s="126"/>
      <c r="I31" s="88"/>
      <c r="J31" s="127"/>
      <c r="L31" s="127"/>
      <c r="N31" s="88"/>
    </row>
    <row r="32" spans="1:14" ht="15.75">
      <c r="A32" s="123" t="s">
        <v>87</v>
      </c>
      <c r="B32" s="126"/>
      <c r="C32" s="88"/>
      <c r="D32" s="126"/>
      <c r="E32" s="88"/>
      <c r="F32" s="126"/>
      <c r="G32" s="88"/>
      <c r="H32" s="126"/>
      <c r="I32" s="88"/>
      <c r="J32" s="127"/>
      <c r="L32" s="127"/>
      <c r="N32" s="88"/>
    </row>
    <row r="33" spans="1:14" ht="15.75">
      <c r="A33" s="123" t="s">
        <v>88</v>
      </c>
      <c r="B33" s="110">
        <f>+J33-F33</f>
        <v>3521569.3598925895</v>
      </c>
      <c r="C33" s="88"/>
      <c r="D33" s="110">
        <f>+L33-H33</f>
        <v>4304798</v>
      </c>
      <c r="E33" s="88"/>
      <c r="F33" s="126"/>
      <c r="G33" s="88"/>
      <c r="H33" s="126"/>
      <c r="I33" s="88"/>
      <c r="J33" s="110">
        <f>'[1]YSt(Sum)'!X30</f>
        <v>3521569.3598925895</v>
      </c>
      <c r="L33" s="110">
        <v>4304798</v>
      </c>
      <c r="N33" s="88"/>
    </row>
    <row r="34" spans="1:14" ht="15.75">
      <c r="A34" s="123" t="s">
        <v>89</v>
      </c>
      <c r="B34" s="110">
        <f>+J34-F34</f>
        <v>271364.3134013493</v>
      </c>
      <c r="C34" s="88"/>
      <c r="D34" s="88">
        <f>L34-H34</f>
        <v>372859.56</v>
      </c>
      <c r="E34" s="88"/>
      <c r="F34" s="100"/>
      <c r="G34" s="88"/>
      <c r="H34" s="100"/>
      <c r="I34" s="88"/>
      <c r="J34" s="100">
        <f>-'[1]YSt(Sum)'!X29</f>
        <v>271364.3134013493</v>
      </c>
      <c r="L34" s="119">
        <v>372859.56</v>
      </c>
      <c r="N34" s="88"/>
    </row>
    <row r="35" spans="1:14" ht="16.5" thickBot="1">
      <c r="A35" s="123" t="s">
        <v>90</v>
      </c>
      <c r="B35" s="128">
        <f>SUM(B33:B34)</f>
        <v>3792933.673293939</v>
      </c>
      <c r="C35" s="88"/>
      <c r="D35" s="128">
        <f>SUM(D33:D34)</f>
        <v>4677657.56</v>
      </c>
      <c r="E35" s="88"/>
      <c r="F35" s="128">
        <f>SUM(F33:F34)</f>
        <v>0</v>
      </c>
      <c r="G35" s="88"/>
      <c r="H35" s="128">
        <f>SUM(H33:H34)</f>
        <v>0</v>
      </c>
      <c r="I35" s="88"/>
      <c r="J35" s="128">
        <f>SUM(J33:J34)</f>
        <v>3792933.673293939</v>
      </c>
      <c r="L35" s="128">
        <f>SUM(L33:L34)</f>
        <v>4677657.56</v>
      </c>
      <c r="N35" s="88"/>
    </row>
    <row r="36" spans="1:14" ht="16.5" thickTop="1">
      <c r="A36" s="129"/>
      <c r="D36" s="110"/>
      <c r="J36" s="130"/>
      <c r="L36" s="131"/>
      <c r="N36" s="130"/>
    </row>
    <row r="37" spans="1:14" ht="24.75" customHeight="1">
      <c r="A37" s="129" t="s">
        <v>91</v>
      </c>
      <c r="B37" s="132">
        <f>J37</f>
        <v>100008300</v>
      </c>
      <c r="D37" s="88">
        <v>100008300</v>
      </c>
      <c r="F37" s="88">
        <v>100008300</v>
      </c>
      <c r="H37" s="88">
        <v>100008300</v>
      </c>
      <c r="J37" s="132">
        <f>'[1]BlnSht'!B51</f>
        <v>100008300</v>
      </c>
      <c r="L37" s="88">
        <v>100008300</v>
      </c>
      <c r="N37" s="88"/>
    </row>
    <row r="38" spans="1:14" ht="15.75">
      <c r="A38" s="129"/>
      <c r="D38" s="110"/>
      <c r="J38" s="130"/>
      <c r="L38" s="131"/>
      <c r="N38" s="130"/>
    </row>
    <row r="39" spans="1:14" ht="15.75">
      <c r="A39" s="129" t="s">
        <v>92</v>
      </c>
      <c r="D39" s="110"/>
      <c r="J39" s="130"/>
      <c r="L39" s="131"/>
      <c r="N39" s="130"/>
    </row>
    <row r="40" spans="1:14" ht="15.75">
      <c r="A40" s="129" t="s">
        <v>93</v>
      </c>
      <c r="D40" s="110"/>
      <c r="J40" s="130"/>
      <c r="L40" s="131"/>
      <c r="N40" s="130"/>
    </row>
    <row r="41" spans="1:14" ht="15.75">
      <c r="A41" s="129" t="s">
        <v>94</v>
      </c>
      <c r="B41" s="133">
        <f>B33/B37*100</f>
        <v>3.5212770938937967</v>
      </c>
      <c r="D41" s="133">
        <f>D33/D37*100</f>
        <v>4.304440731419292</v>
      </c>
      <c r="F41" s="133">
        <f>F33/F37*100</f>
        <v>0</v>
      </c>
      <c r="H41" s="133">
        <f>H33/H37*100</f>
        <v>0</v>
      </c>
      <c r="J41" s="133">
        <f>J33/J37*100</f>
        <v>3.5212770938937967</v>
      </c>
      <c r="L41" s="133">
        <f>L33/L37*100</f>
        <v>4.304440731419292</v>
      </c>
      <c r="N41" s="130"/>
    </row>
    <row r="42" spans="1:14" ht="15.75">
      <c r="A42" s="129"/>
      <c r="D42" s="110"/>
      <c r="J42" s="130"/>
      <c r="L42" s="131"/>
      <c r="N42" s="130"/>
    </row>
    <row r="44" spans="1:6" ht="15.75">
      <c r="A44" s="93"/>
      <c r="B44" s="110"/>
      <c r="D44" s="110"/>
      <c r="F44" s="110"/>
    </row>
    <row r="45" spans="2:10" ht="15.75" hidden="1">
      <c r="B45" s="134"/>
      <c r="D45" s="110"/>
      <c r="J45" s="88"/>
    </row>
    <row r="46" ht="15.75" hidden="1"/>
    <row r="47" spans="2:12" ht="15.75" hidden="1">
      <c r="B47" s="88"/>
      <c r="L47" s="132">
        <f>J35-L35</f>
        <v>-884723.8867060607</v>
      </c>
    </row>
    <row r="48" spans="2:12" ht="15.75" hidden="1">
      <c r="B48" s="88"/>
      <c r="L48" s="135">
        <f>L47/L35</f>
        <v>-0.18913823326264628</v>
      </c>
    </row>
    <row r="49" spans="1:12" ht="15.75">
      <c r="A49" s="93"/>
      <c r="L49" s="87"/>
    </row>
  </sheetData>
  <printOptions horizontalCentered="1"/>
  <pageMargins left="0.45" right="0.28" top="0.74" bottom="1" header="0.61" footer="0.5"/>
  <pageSetup fitToHeight="1" fitToWidth="1" horizontalDpi="300" verticalDpi="300" orientation="portrait" paperSize="9" scale="84" r:id="rId3"/>
  <headerFooter alignWithMargins="0">
    <oddFooter>&amp;C&amp;"Book Antiqua,Bold Italic"&amp;10The Condensed Consolidated Income Statements should be read in conjunction with the Audited Accounts for the year ended 31/12/2005. The document forms part of quarterly announcement for quarter ended 31/3/2006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18" sqref="M18"/>
    </sheetView>
  </sheetViews>
  <sheetFormatPr defaultColWidth="9.00390625" defaultRowHeight="16.5"/>
  <cols>
    <col min="1" max="1" width="26.875" style="87" customWidth="1"/>
    <col min="2" max="2" width="6.125" style="87" customWidth="1"/>
    <col min="3" max="3" width="14.125" style="88" bestFit="1" customWidth="1"/>
    <col min="4" max="5" width="13.375" style="88" customWidth="1"/>
    <col min="6" max="6" width="14.375" style="88" customWidth="1"/>
    <col min="7" max="7" width="13.375" style="88" customWidth="1"/>
    <col min="8" max="8" width="2.25390625" style="87" customWidth="1"/>
    <col min="9" max="9" width="14.375" style="88" customWidth="1"/>
    <col min="10" max="10" width="3.75390625" style="87" customWidth="1"/>
    <col min="11" max="12" width="13.375" style="88" customWidth="1"/>
    <col min="13" max="13" width="10.25390625" style="87" bestFit="1" customWidth="1"/>
    <col min="14" max="14" width="10.875" style="87" bestFit="1" customWidth="1"/>
    <col min="15" max="16384" width="9.00390625" style="87" customWidth="1"/>
  </cols>
  <sheetData>
    <row r="2" ht="15.75">
      <c r="A2" s="136" t="s">
        <v>0</v>
      </c>
    </row>
    <row r="3" ht="15.75">
      <c r="A3" s="136" t="s">
        <v>95</v>
      </c>
    </row>
    <row r="4" ht="15.75">
      <c r="A4" s="136" t="str">
        <f>'[1]YSt'!A3</f>
        <v>FOR THE QUARTER ENDED 31 MARCH 2006</v>
      </c>
    </row>
    <row r="5" ht="7.5" customHeight="1"/>
    <row r="6" spans="3:12" s="129" customFormat="1" ht="17.25" customHeight="1">
      <c r="C6" s="137"/>
      <c r="D6" s="178" t="s">
        <v>96</v>
      </c>
      <c r="E6" s="178"/>
      <c r="F6" s="138" t="s">
        <v>97</v>
      </c>
      <c r="G6" s="138"/>
      <c r="I6" s="138"/>
      <c r="K6" s="138"/>
      <c r="L6" s="138"/>
    </row>
    <row r="7" spans="1:12" s="129" customFormat="1" ht="56.25" customHeight="1">
      <c r="A7" s="129" t="s">
        <v>98</v>
      </c>
      <c r="C7" s="139" t="s">
        <v>44</v>
      </c>
      <c r="D7" s="139" t="s">
        <v>99</v>
      </c>
      <c r="E7" s="139" t="s">
        <v>100</v>
      </c>
      <c r="F7" s="139" t="s">
        <v>101</v>
      </c>
      <c r="G7" s="139" t="s">
        <v>102</v>
      </c>
      <c r="I7" s="139" t="s">
        <v>89</v>
      </c>
      <c r="K7" s="139" t="s">
        <v>102</v>
      </c>
      <c r="L7" s="138"/>
    </row>
    <row r="8" spans="3:12" s="129" customFormat="1" ht="15" customHeight="1">
      <c r="C8" s="140"/>
      <c r="D8" s="140"/>
      <c r="E8" s="140"/>
      <c r="F8" s="140"/>
      <c r="G8" s="140"/>
      <c r="I8" s="140"/>
      <c r="K8" s="140"/>
      <c r="L8" s="140"/>
    </row>
    <row r="9" spans="1:11" ht="15.75">
      <c r="A9" s="87" t="s">
        <v>103</v>
      </c>
      <c r="C9" s="88">
        <f>'[1]StEq(D)'!Y11</f>
        <v>100008300</v>
      </c>
      <c r="D9" s="88">
        <f>'[1]StEq(D)'!Y32</f>
        <v>16516683</v>
      </c>
      <c r="E9" s="88">
        <v>0</v>
      </c>
      <c r="F9" s="88">
        <f>'[1]StEq(D)'!Z37-2</f>
        <v>70030704</v>
      </c>
      <c r="G9" s="88">
        <f>SUM(C9:F9)</f>
        <v>186555687</v>
      </c>
      <c r="I9" s="115">
        <v>3928712.08627052</v>
      </c>
      <c r="K9" s="88">
        <f>G9+I9</f>
        <v>190484399.0862705</v>
      </c>
    </row>
    <row r="10" spans="1:9" ht="15.75">
      <c r="A10" s="87" t="s">
        <v>104</v>
      </c>
      <c r="I10" s="115"/>
    </row>
    <row r="11" spans="1:11" ht="15.75">
      <c r="A11" s="87" t="s">
        <v>105</v>
      </c>
      <c r="C11" s="88">
        <v>0</v>
      </c>
      <c r="D11" s="88">
        <v>0</v>
      </c>
      <c r="E11" s="88">
        <v>0</v>
      </c>
      <c r="F11" s="88">
        <v>227579</v>
      </c>
      <c r="G11" s="88">
        <f>SUM(C11:F11)</f>
        <v>227579</v>
      </c>
      <c r="I11" s="115">
        <v>0</v>
      </c>
      <c r="K11" s="88">
        <f aca="true" t="shared" si="0" ref="K11:K18">G11+I11</f>
        <v>227579</v>
      </c>
    </row>
    <row r="12" spans="1:11" ht="15.75" hidden="1">
      <c r="A12" s="87" t="s">
        <v>106</v>
      </c>
      <c r="C12" s="88">
        <f>'[1]StEq(D)'!Y12</f>
        <v>0</v>
      </c>
      <c r="D12" s="88">
        <f>'[1]StEq(D)'!Y31</f>
        <v>0</v>
      </c>
      <c r="G12" s="88">
        <f>SUM(C12:F12)</f>
        <v>0</v>
      </c>
      <c r="I12" s="88">
        <v>0</v>
      </c>
      <c r="K12" s="88">
        <f t="shared" si="0"/>
        <v>0</v>
      </c>
    </row>
    <row r="13" spans="1:11" ht="15.75">
      <c r="A13" s="87" t="s">
        <v>107</v>
      </c>
      <c r="E13" s="88">
        <f>+'[1]BlnSht(D)'!T66+3</f>
        <v>552387</v>
      </c>
      <c r="F13" s="88">
        <v>0</v>
      </c>
      <c r="G13" s="88">
        <f>SUM(C13:F13)</f>
        <v>552387</v>
      </c>
      <c r="I13" s="115">
        <v>0</v>
      </c>
      <c r="K13" s="88">
        <f t="shared" si="0"/>
        <v>552387</v>
      </c>
    </row>
    <row r="14" spans="1:11" ht="39" customHeight="1">
      <c r="A14" s="129" t="s">
        <v>108</v>
      </c>
      <c r="F14" s="88">
        <f>+'[1]StEq(D)'!Y39</f>
        <v>0</v>
      </c>
      <c r="G14" s="88">
        <f>SUM(C14:F14)</f>
        <v>0</v>
      </c>
      <c r="I14" s="88">
        <f>-508235-306845</f>
        <v>-815080</v>
      </c>
      <c r="K14" s="88">
        <f t="shared" si="0"/>
        <v>-815080</v>
      </c>
    </row>
    <row r="15" ht="15.75" hidden="1">
      <c r="K15" s="88">
        <f t="shared" si="0"/>
        <v>0</v>
      </c>
    </row>
    <row r="16" spans="1:11" ht="15.75">
      <c r="A16" s="87" t="s">
        <v>109</v>
      </c>
      <c r="C16" s="88">
        <v>0</v>
      </c>
      <c r="D16" s="88">
        <v>0</v>
      </c>
      <c r="E16" s="88">
        <v>0</v>
      </c>
      <c r="F16" s="88">
        <f>'[1]StEq(D)'!Y38</f>
        <v>3521569.3598925895</v>
      </c>
      <c r="G16" s="88">
        <f>SUM(C16:F16)</f>
        <v>3521569.3598925895</v>
      </c>
      <c r="H16" s="110"/>
      <c r="I16" s="88">
        <f>'[1]YSt'!B34</f>
        <v>271364.3134013493</v>
      </c>
      <c r="K16" s="88">
        <f t="shared" si="0"/>
        <v>3792933.673293939</v>
      </c>
    </row>
    <row r="17" spans="1:11" ht="15.75">
      <c r="A17" s="87" t="s">
        <v>110</v>
      </c>
      <c r="C17" s="88">
        <v>0</v>
      </c>
      <c r="D17" s="88">
        <v>0</v>
      </c>
      <c r="E17" s="88">
        <v>0</v>
      </c>
      <c r="F17" s="88">
        <f>'[1]StEq(D)'!Y41</f>
        <v>0</v>
      </c>
      <c r="G17" s="88">
        <f>SUM(C17:F17)</f>
        <v>0</v>
      </c>
      <c r="I17" s="88">
        <f>'[1]StEq(D)'!AB41</f>
        <v>0</v>
      </c>
      <c r="K17" s="88">
        <f t="shared" si="0"/>
        <v>0</v>
      </c>
    </row>
    <row r="18" spans="1:11" ht="15.75">
      <c r="A18" s="87" t="s">
        <v>111</v>
      </c>
      <c r="C18" s="88">
        <v>0</v>
      </c>
      <c r="D18" s="88">
        <v>0</v>
      </c>
      <c r="E18" s="88">
        <v>0</v>
      </c>
      <c r="F18" s="88">
        <f>'[1]StEq(D)'!Y40</f>
        <v>0</v>
      </c>
      <c r="G18" s="88">
        <f>SUM(C18:F18)</f>
        <v>0</v>
      </c>
      <c r="I18" s="88">
        <f>'[1]MIProof'!G16</f>
        <v>-382590.34156</v>
      </c>
      <c r="K18" s="88">
        <f t="shared" si="0"/>
        <v>-382590.34156</v>
      </c>
    </row>
    <row r="19" spans="1:14" ht="16.5" thickBot="1">
      <c r="A19" s="87" t="s">
        <v>112</v>
      </c>
      <c r="C19" s="141">
        <f>SUM(C9:C18)</f>
        <v>100008300</v>
      </c>
      <c r="D19" s="141">
        <f>SUM(D9:D18)</f>
        <v>16516683</v>
      </c>
      <c r="E19" s="141">
        <f>SUM(E9:E18)</f>
        <v>552387</v>
      </c>
      <c r="F19" s="141">
        <f>SUM(F9:F18)</f>
        <v>73779852.35989259</v>
      </c>
      <c r="G19" s="141">
        <f>SUM(G9:G18)</f>
        <v>190857222.35989258</v>
      </c>
      <c r="I19" s="141">
        <f>SUM(I9:I18)</f>
        <v>3002406.0581118693</v>
      </c>
      <c r="K19" s="141">
        <f>SUM(K9:K18)</f>
        <v>193859628.41800445</v>
      </c>
      <c r="L19" s="100"/>
      <c r="N19" s="110"/>
    </row>
    <row r="20" spans="8:14" ht="16.5" thickTop="1">
      <c r="H20" s="110">
        <f>G19-'[1]BlnSht'!B55</f>
        <v>1.3062705099582672</v>
      </c>
      <c r="N20" s="110"/>
    </row>
    <row r="21" ht="15.75">
      <c r="H21" s="110"/>
    </row>
    <row r="22" ht="39.75" customHeight="1">
      <c r="A22" s="129" t="s">
        <v>113</v>
      </c>
    </row>
    <row r="24" spans="1:11" ht="15.75">
      <c r="A24" s="87" t="s">
        <v>114</v>
      </c>
      <c r="C24" s="88">
        <v>100008300</v>
      </c>
      <c r="D24" s="88">
        <v>16516683</v>
      </c>
      <c r="E24" s="88">
        <v>0</v>
      </c>
      <c r="F24" s="88">
        <f>62885700</f>
        <v>62885700</v>
      </c>
      <c r="G24" s="88">
        <f>SUM(C24:F24)</f>
        <v>179410683</v>
      </c>
      <c r="I24" s="88">
        <f>2756833-1</f>
        <v>2756832</v>
      </c>
      <c r="J24" s="142"/>
      <c r="K24" s="88">
        <f aca="true" t="shared" si="1" ref="K24:K29">G24+I24</f>
        <v>182167515</v>
      </c>
    </row>
    <row r="25" spans="1:11" ht="15.75">
      <c r="A25" s="87" t="s">
        <v>106</v>
      </c>
      <c r="C25" s="88">
        <v>0</v>
      </c>
      <c r="D25" s="88">
        <v>0</v>
      </c>
      <c r="E25" s="88">
        <v>0</v>
      </c>
      <c r="F25" s="88">
        <v>0</v>
      </c>
      <c r="G25" s="88">
        <f>SUM(C25:F25)</f>
        <v>0</v>
      </c>
      <c r="I25" s="88">
        <v>508235</v>
      </c>
      <c r="K25" s="88">
        <f t="shared" si="1"/>
        <v>508235</v>
      </c>
    </row>
    <row r="26" spans="1:11" ht="15.75">
      <c r="A26" s="143" t="s">
        <v>115</v>
      </c>
      <c r="I26" s="88">
        <f>'[5]CF-4-4-MI'!$G$18</f>
        <v>100108</v>
      </c>
      <c r="K26" s="88">
        <f t="shared" si="1"/>
        <v>100108</v>
      </c>
    </row>
    <row r="27" spans="1:11" ht="15.75">
      <c r="A27" s="87" t="s">
        <v>109</v>
      </c>
      <c r="C27" s="88">
        <v>0</v>
      </c>
      <c r="D27" s="88">
        <v>0</v>
      </c>
      <c r="E27" s="88">
        <v>0</v>
      </c>
      <c r="F27" s="88">
        <f>+'[1]YSt'!D33</f>
        <v>4304798</v>
      </c>
      <c r="G27" s="88">
        <f>SUM(C27:F27)</f>
        <v>4304798</v>
      </c>
      <c r="I27" s="88">
        <f>'[1]YSt'!L34</f>
        <v>372859.56</v>
      </c>
      <c r="K27" s="88">
        <f t="shared" si="1"/>
        <v>4677657.56</v>
      </c>
    </row>
    <row r="28" spans="1:11" ht="15.75">
      <c r="A28" s="87" t="s">
        <v>110</v>
      </c>
      <c r="C28" s="88">
        <v>0</v>
      </c>
      <c r="D28" s="88">
        <v>0</v>
      </c>
      <c r="E28" s="88">
        <v>0</v>
      </c>
      <c r="F28" s="88">
        <v>0</v>
      </c>
      <c r="G28" s="88">
        <f>SUM(C28:F28)</f>
        <v>0</v>
      </c>
      <c r="I28" s="88">
        <v>0</v>
      </c>
      <c r="K28" s="88">
        <f t="shared" si="1"/>
        <v>0</v>
      </c>
    </row>
    <row r="29" spans="1:11" ht="15.75">
      <c r="A29" s="87" t="s">
        <v>111</v>
      </c>
      <c r="C29" s="88">
        <v>0</v>
      </c>
      <c r="D29" s="88">
        <v>0</v>
      </c>
      <c r="E29" s="88">
        <v>0</v>
      </c>
      <c r="F29" s="88">
        <v>0</v>
      </c>
      <c r="G29" s="88">
        <f>SUM(C29:F29)</f>
        <v>0</v>
      </c>
      <c r="I29" s="88">
        <f>'[5]CF-4-4-MI'!$G$16</f>
        <v>-735588</v>
      </c>
      <c r="K29" s="88">
        <f t="shared" si="1"/>
        <v>-735588</v>
      </c>
    </row>
    <row r="30" spans="1:14" ht="16.5" thickBot="1">
      <c r="A30" s="87" t="s">
        <v>116</v>
      </c>
      <c r="C30" s="141">
        <f>SUM(C24:C29)</f>
        <v>100008300</v>
      </c>
      <c r="D30" s="141">
        <f>SUM(D24:D29)</f>
        <v>16516683</v>
      </c>
      <c r="E30" s="141">
        <f>SUM(E24:E29)</f>
        <v>0</v>
      </c>
      <c r="F30" s="141">
        <f>SUM(F24:F29)</f>
        <v>67190498</v>
      </c>
      <c r="G30" s="141">
        <f>SUM(C30:F30)</f>
        <v>183715481</v>
      </c>
      <c r="I30" s="141">
        <f>SUM(I24:I29)</f>
        <v>3002446.56</v>
      </c>
      <c r="K30" s="141">
        <f>SUM(K24:K29)</f>
        <v>186717927.56</v>
      </c>
      <c r="L30" s="100"/>
      <c r="M30" s="110"/>
      <c r="N30" s="110"/>
    </row>
    <row r="31" ht="16.5" thickTop="1"/>
  </sheetData>
  <mergeCells count="1">
    <mergeCell ref="D6:E6"/>
  </mergeCells>
  <printOptions horizontalCentered="1"/>
  <pageMargins left="0.75" right="0.75" top="0.74" bottom="1" header="0.5" footer="0.5"/>
  <pageSetup horizontalDpi="600" verticalDpi="600" orientation="landscape" paperSize="9" scale="80" r:id="rId1"/>
  <headerFooter alignWithMargins="0">
    <oddHeader>&amp;R&amp;"Book Antiqua,Bold"Appendix 1 D</oddHeader>
    <oddFooter>&amp;C&amp;"Book Antiqua,Bold Italic"&amp;10The Condensed Consolidated Statement of Changes in Equity should be read in conjunction with the Audited Accounts for the year ended 31/12/2005. The document forms part of quarterly announcement for quarter ended 31/3/2006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103"/>
  <sheetViews>
    <sheetView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8" sqref="E28"/>
    </sheetView>
  </sheetViews>
  <sheetFormatPr defaultColWidth="9.00390625" defaultRowHeight="16.5"/>
  <cols>
    <col min="1" max="1" width="42.875" style="147" customWidth="1"/>
    <col min="2" max="2" width="12.375" style="145" hidden="1" customWidth="1"/>
    <col min="3" max="3" width="5.875" style="146" hidden="1" customWidth="1"/>
    <col min="4" max="4" width="14.625" style="145" customWidth="1"/>
    <col min="5" max="5" width="4.00390625" style="145" customWidth="1"/>
    <col min="6" max="6" width="13.125" style="145" bestFit="1" customWidth="1"/>
    <col min="7" max="7" width="4.00390625" style="145" hidden="1" customWidth="1"/>
    <col min="8" max="8" width="14.00390625" style="147" hidden="1" customWidth="1"/>
    <col min="9" max="9" width="3.625" style="147" hidden="1" customWidth="1"/>
    <col min="10" max="10" width="14.625" style="145" hidden="1" customWidth="1"/>
    <col min="11" max="11" width="10.875" style="147" hidden="1" customWidth="1"/>
    <col min="12" max="12" width="9.25390625" style="147" hidden="1" customWidth="1"/>
    <col min="13" max="13" width="13.75390625" style="147" hidden="1" customWidth="1"/>
    <col min="14" max="14" width="9.00390625" style="147" customWidth="1"/>
    <col min="15" max="15" width="18.625" style="147" customWidth="1"/>
    <col min="16" max="16384" width="9.00390625" style="147" customWidth="1"/>
  </cols>
  <sheetData>
    <row r="2" ht="15">
      <c r="A2" s="144" t="s">
        <v>0</v>
      </c>
    </row>
    <row r="3" spans="1:6" ht="15">
      <c r="A3" s="144" t="s">
        <v>117</v>
      </c>
      <c r="B3" s="147"/>
      <c r="C3" s="148"/>
      <c r="D3" s="147"/>
      <c r="F3" s="149"/>
    </row>
    <row r="4" spans="1:4" ht="15">
      <c r="A4" s="144"/>
      <c r="B4" s="150" t="s">
        <v>63</v>
      </c>
      <c r="C4" s="148"/>
      <c r="D4" s="147"/>
    </row>
    <row r="5" spans="1:10" ht="15">
      <c r="A5" s="144"/>
      <c r="B5" s="151" t="s">
        <v>118</v>
      </c>
      <c r="C5" s="152"/>
      <c r="D5" s="153">
        <v>2006</v>
      </c>
      <c r="E5" s="154"/>
      <c r="F5" s="155">
        <v>2005</v>
      </c>
      <c r="G5" s="154"/>
      <c r="H5" s="156">
        <v>2002</v>
      </c>
      <c r="J5" s="155">
        <v>2002</v>
      </c>
    </row>
    <row r="6" spans="1:10" ht="32.25" customHeight="1">
      <c r="A6" s="144"/>
      <c r="B6" s="157" t="s">
        <v>119</v>
      </c>
      <c r="C6" s="152"/>
      <c r="D6" s="157" t="s">
        <v>120</v>
      </c>
      <c r="E6" s="158"/>
      <c r="F6" s="157" t="s">
        <v>120</v>
      </c>
      <c r="G6" s="158"/>
      <c r="H6" s="157" t="s">
        <v>121</v>
      </c>
      <c r="J6" s="157" t="s">
        <v>122</v>
      </c>
    </row>
    <row r="7" spans="2:10" ht="15">
      <c r="B7" s="159" t="s">
        <v>9</v>
      </c>
      <c r="C7" s="152"/>
      <c r="D7" s="159" t="s">
        <v>9</v>
      </c>
      <c r="E7" s="158"/>
      <c r="F7" s="159" t="s">
        <v>9</v>
      </c>
      <c r="G7" s="158"/>
      <c r="H7" s="159" t="s">
        <v>9</v>
      </c>
      <c r="J7" s="159" t="s">
        <v>9</v>
      </c>
    </row>
    <row r="8" ht="15">
      <c r="A8" s="144" t="s">
        <v>123</v>
      </c>
    </row>
    <row r="9" spans="1:12" ht="13.5">
      <c r="A9" s="147" t="s">
        <v>124</v>
      </c>
      <c r="B9" s="145">
        <f>'[1]CoCFlow'!E35</f>
        <v>4049819.4032939486</v>
      </c>
      <c r="D9" s="145">
        <f>'[1]GrpCFlow'!E39</f>
        <v>5299043.252478443</v>
      </c>
      <c r="F9" s="145">
        <v>6674265.450000003</v>
      </c>
      <c r="H9" s="160">
        <v>34614991.099999994</v>
      </c>
      <c r="J9" s="145">
        <v>9365858</v>
      </c>
      <c r="L9" s="161"/>
    </row>
    <row r="10" spans="1:8" ht="13.5">
      <c r="A10" s="147" t="s">
        <v>125</v>
      </c>
      <c r="H10" s="160"/>
    </row>
    <row r="11" spans="1:10" ht="13.5">
      <c r="A11" s="162" t="s">
        <v>126</v>
      </c>
      <c r="B11" s="145">
        <f>'[1]CoCFlow'!F35</f>
        <v>3626220.8189999997</v>
      </c>
      <c r="D11" s="145">
        <f>'[1]GrpCFlow'!F39</f>
        <v>4769535.679</v>
      </c>
      <c r="F11" s="145">
        <v>5313858</v>
      </c>
      <c r="H11" s="160">
        <v>17781227</v>
      </c>
      <c r="J11" s="145">
        <v>4270175</v>
      </c>
    </row>
    <row r="12" spans="1:10" ht="13.5">
      <c r="A12" s="162" t="s">
        <v>127</v>
      </c>
      <c r="B12" s="145">
        <f>'[1]CoCFlow'!N35</f>
        <v>644845.3373982124</v>
      </c>
      <c r="D12" s="145">
        <f>'[1]GrpCFlow'!P39</f>
        <v>661708.3973982123</v>
      </c>
      <c r="F12" s="145">
        <v>616400</v>
      </c>
      <c r="H12" s="160">
        <v>1661658</v>
      </c>
      <c r="J12" s="145">
        <v>360488</v>
      </c>
    </row>
    <row r="13" spans="1:8" ht="13.5" hidden="1">
      <c r="A13" s="162" t="s">
        <v>128</v>
      </c>
      <c r="B13" s="145">
        <f>'[1]CoCFlow'!J35</f>
        <v>0</v>
      </c>
      <c r="D13" s="145">
        <f>'[1]GrpCFlow'!H39</f>
        <v>0</v>
      </c>
      <c r="F13" s="145">
        <v>0</v>
      </c>
      <c r="H13" s="160">
        <v>177089</v>
      </c>
    </row>
    <row r="14" spans="1:8" ht="13.5" hidden="1">
      <c r="A14" s="162" t="s">
        <v>129</v>
      </c>
      <c r="B14" s="145">
        <f>'[1]CoCFlow'!G35</f>
        <v>0</v>
      </c>
      <c r="D14" s="145">
        <f>'[1]GrpCFlow'!I39</f>
        <v>0</v>
      </c>
      <c r="F14" s="145">
        <v>0</v>
      </c>
      <c r="H14" s="160"/>
    </row>
    <row r="15" spans="1:8" ht="13.5" hidden="1">
      <c r="A15" s="162" t="s">
        <v>130</v>
      </c>
      <c r="B15" s="145">
        <f>'[1]CoCFlow'!I35</f>
        <v>0</v>
      </c>
      <c r="D15" s="145">
        <f>'[1]GrpCFlow'!J39</f>
        <v>0</v>
      </c>
      <c r="F15" s="145">
        <v>0</v>
      </c>
      <c r="H15" s="160">
        <v>-511584</v>
      </c>
    </row>
    <row r="16" spans="1:8" ht="13.5">
      <c r="A16" s="162" t="s">
        <v>131</v>
      </c>
      <c r="B16" s="145">
        <f>'[1]CoCFlow'!K35</f>
        <v>0</v>
      </c>
      <c r="D16" s="145">
        <f>'[1]GrpCFlow'!L39</f>
        <v>0</v>
      </c>
      <c r="F16" s="145">
        <v>100108</v>
      </c>
      <c r="H16" s="160">
        <v>11086</v>
      </c>
    </row>
    <row r="17" spans="1:8" ht="13.5" hidden="1">
      <c r="A17" s="162" t="s">
        <v>132</v>
      </c>
      <c r="D17" s="145">
        <f>-'[1]GrpCFlow'!K39</f>
        <v>0</v>
      </c>
      <c r="H17" s="160"/>
    </row>
    <row r="18" spans="1:8" ht="13.5">
      <c r="A18" s="162" t="s">
        <v>133</v>
      </c>
      <c r="D18" s="145">
        <f>+'[1]GrpCFlow'!M39</f>
        <v>552384</v>
      </c>
      <c r="F18" s="145">
        <v>0</v>
      </c>
      <c r="H18" s="160"/>
    </row>
    <row r="19" spans="1:8" ht="13.5">
      <c r="A19" s="162" t="s">
        <v>134</v>
      </c>
      <c r="B19" s="145">
        <f>'[1]CoCFlow'!M35</f>
        <v>429.48440913604776</v>
      </c>
      <c r="D19" s="145">
        <f>'[1]GrpCFlow'!N39</f>
        <v>20011.294409136048</v>
      </c>
      <c r="F19" s="145">
        <v>0</v>
      </c>
      <c r="H19" s="160">
        <v>1148152</v>
      </c>
    </row>
    <row r="20" spans="1:10" ht="15.75" customHeight="1">
      <c r="A20" s="162" t="s">
        <v>135</v>
      </c>
      <c r="B20" s="145">
        <f>'[1]YSt(D)'!D50</f>
        <v>172681.98</v>
      </c>
      <c r="D20" s="145">
        <f>'[1]GrpCFlow'!Q39</f>
        <v>172681.98</v>
      </c>
      <c r="F20" s="145">
        <v>299313</v>
      </c>
      <c r="H20" s="160">
        <f>1690927-112000</f>
        <v>1578927</v>
      </c>
      <c r="J20" s="145">
        <v>351589</v>
      </c>
    </row>
    <row r="21" spans="1:8" ht="18" customHeight="1" hidden="1">
      <c r="A21" s="162" t="s">
        <v>136</v>
      </c>
      <c r="B21" s="145">
        <v>0</v>
      </c>
      <c r="D21" s="145">
        <f>'[1]GrpCFlow'!O39</f>
        <v>0</v>
      </c>
      <c r="F21" s="145">
        <v>0</v>
      </c>
      <c r="H21" s="160">
        <v>415267.2</v>
      </c>
    </row>
    <row r="22" spans="1:10" ht="13.5">
      <c r="A22" s="162" t="s">
        <v>137</v>
      </c>
      <c r="B22" s="145">
        <v>0</v>
      </c>
      <c r="D22" s="145">
        <f>'[1]GrpCFlow'!R39</f>
        <v>0</v>
      </c>
      <c r="F22" s="145">
        <v>26750</v>
      </c>
      <c r="H22" s="160">
        <v>-282662.3</v>
      </c>
      <c r="J22" s="145">
        <v>-846923</v>
      </c>
    </row>
    <row r="23" spans="1:8" ht="13.5" hidden="1">
      <c r="A23" s="162" t="s">
        <v>138</v>
      </c>
      <c r="B23" s="145">
        <f>'[1]CoCFlow'!H35</f>
        <v>0</v>
      </c>
      <c r="D23" s="145">
        <f>'[1]GrpCFlow'!G39</f>
        <v>0</v>
      </c>
      <c r="F23" s="145">
        <v>0</v>
      </c>
      <c r="H23" s="160">
        <v>2829561</v>
      </c>
    </row>
    <row r="24" spans="1:8" ht="13.5" hidden="1">
      <c r="A24" s="162" t="s">
        <v>139</v>
      </c>
      <c r="D24" s="145">
        <f>'[1]GrpCFlow'!U39</f>
        <v>0</v>
      </c>
      <c r="F24" s="145">
        <v>0</v>
      </c>
      <c r="H24" s="160">
        <v>150064</v>
      </c>
    </row>
    <row r="25" spans="1:8" ht="13.5" hidden="1">
      <c r="A25" s="162" t="s">
        <v>140</v>
      </c>
      <c r="B25" s="145">
        <f>'[1]CoCFlow'!Q35</f>
        <v>0</v>
      </c>
      <c r="D25" s="145">
        <v>0</v>
      </c>
      <c r="H25" s="160"/>
    </row>
    <row r="26" spans="1:8" ht="13.5">
      <c r="A26" s="162" t="s">
        <v>141</v>
      </c>
      <c r="B26" s="145">
        <f>'[1]CoCFlow'!P35</f>
        <v>0</v>
      </c>
      <c r="D26" s="145">
        <f>'[1]GrpCFlow'!T39</f>
        <v>-3891</v>
      </c>
      <c r="F26" s="145">
        <v>-8460</v>
      </c>
      <c r="H26" s="160">
        <v>30776</v>
      </c>
    </row>
    <row r="27" spans="1:8" ht="13.5" hidden="1">
      <c r="A27" s="162" t="s">
        <v>142</v>
      </c>
      <c r="B27" s="145">
        <f>+'[1]CoCFlow'!R35</f>
        <v>-1176948.5</v>
      </c>
      <c r="D27" s="145">
        <f>'[1]GrpCFlow'!V39</f>
        <v>0</v>
      </c>
      <c r="F27" s="145">
        <v>0</v>
      </c>
      <c r="H27" s="160"/>
    </row>
    <row r="28" spans="1:10" ht="13.5">
      <c r="A28" s="162" t="s">
        <v>143</v>
      </c>
      <c r="B28" s="163">
        <f>'[1]CoCFlow'!O35</f>
        <v>-11177.53</v>
      </c>
      <c r="D28" s="163">
        <f>'[1]GrpCFlow'!S39</f>
        <v>-11177.53</v>
      </c>
      <c r="F28" s="163">
        <v>-168823</v>
      </c>
      <c r="H28" s="164">
        <v>-1348268</v>
      </c>
      <c r="J28" s="163">
        <v>-545506</v>
      </c>
    </row>
    <row r="29" spans="1:10" ht="13.5">
      <c r="A29" s="165" t="s">
        <v>144</v>
      </c>
      <c r="B29" s="145">
        <f>SUM(B9:B28)</f>
        <v>7305870.994101296</v>
      </c>
      <c r="D29" s="145">
        <f>SUM(D9:D28)</f>
        <v>11460296.073285792</v>
      </c>
      <c r="F29" s="145">
        <f>SUM(F9:F28)</f>
        <v>12853411.450000003</v>
      </c>
      <c r="H29" s="160">
        <f>SUM(H9:H28)</f>
        <v>58256284</v>
      </c>
      <c r="J29" s="160">
        <f>SUM(J9:J28)</f>
        <v>12955681</v>
      </c>
    </row>
    <row r="30" spans="1:10" ht="13.5" hidden="1">
      <c r="A30" s="165" t="s">
        <v>145</v>
      </c>
      <c r="D30" s="145">
        <v>0</v>
      </c>
      <c r="H30" s="160"/>
      <c r="J30" s="160"/>
    </row>
    <row r="31" spans="1:10" ht="13.5">
      <c r="A31" s="165" t="s">
        <v>176</v>
      </c>
      <c r="B31" s="145">
        <f>'[1]CoCFlow'!V35</f>
        <v>32370270.979999997</v>
      </c>
      <c r="D31" s="145">
        <f>'[1]GrpCFlow'!Y39</f>
        <v>-16004144.096125893</v>
      </c>
      <c r="F31" s="145">
        <v>20698233</v>
      </c>
      <c r="H31" s="160">
        <f>-30200806+2506000</f>
        <v>-27694806</v>
      </c>
      <c r="J31" s="145">
        <v>28877155</v>
      </c>
    </row>
    <row r="32" spans="1:8" ht="13.5">
      <c r="A32" s="165" t="s">
        <v>177</v>
      </c>
      <c r="B32" s="145">
        <f>'[1]CoCFlow'!T35</f>
        <v>-13274775.451</v>
      </c>
      <c r="D32" s="145">
        <f>'[1]GrpCFlow'!X39</f>
        <v>-4627116.688062198</v>
      </c>
      <c r="F32" s="145">
        <v>-457159</v>
      </c>
      <c r="H32" s="160"/>
    </row>
    <row r="33" spans="1:10" ht="13.5">
      <c r="A33" s="165" t="s">
        <v>178</v>
      </c>
      <c r="B33" s="146">
        <f>'[1]CoCFlow'!W35</f>
        <v>-51012417.16299998</v>
      </c>
      <c r="D33" s="146">
        <f>'[1]GrpCFlow'!Z39+1.57</f>
        <v>-12953337.640000002</v>
      </c>
      <c r="E33" s="146"/>
      <c r="F33" s="145">
        <v>-32338980.9</v>
      </c>
      <c r="G33" s="146"/>
      <c r="H33" s="166">
        <v>22010143</v>
      </c>
      <c r="J33" s="145">
        <v>-7807087</v>
      </c>
    </row>
    <row r="34" spans="1:10" ht="13.5">
      <c r="A34" s="165" t="s">
        <v>146</v>
      </c>
      <c r="B34" s="146">
        <f>'[1]CoCFlow'!U35</f>
        <v>594776.4477060582</v>
      </c>
      <c r="D34" s="163">
        <f>'[1]GrpCFlow'!W39</f>
        <v>-508552.4112939411</v>
      </c>
      <c r="E34" s="146"/>
      <c r="F34" s="163">
        <v>-1985105</v>
      </c>
      <c r="H34" s="160">
        <v>-3641269</v>
      </c>
      <c r="J34" s="163">
        <v>0</v>
      </c>
    </row>
    <row r="35" spans="1:10" ht="13.5" hidden="1">
      <c r="A35" s="165" t="s">
        <v>147</v>
      </c>
      <c r="B35" s="146">
        <f>'[1]CoCFlow'!X35</f>
        <v>-4926682.750000002</v>
      </c>
      <c r="D35" s="146">
        <f>'[1]GrpCFlow'!AA39</f>
        <v>0</v>
      </c>
      <c r="E35" s="146"/>
      <c r="F35" s="146">
        <v>0</v>
      </c>
      <c r="H35" s="164">
        <v>0</v>
      </c>
      <c r="J35" s="163"/>
    </row>
    <row r="36" spans="1:10" ht="13.5">
      <c r="A36" s="165" t="s">
        <v>148</v>
      </c>
      <c r="B36" s="145">
        <f>SUM(B29:B35)</f>
        <v>-28942956.94219263</v>
      </c>
      <c r="D36" s="145">
        <f>SUM(D29:D35)</f>
        <v>-22632854.762196247</v>
      </c>
      <c r="F36" s="146">
        <v>-1229600.45</v>
      </c>
      <c r="H36" s="160">
        <f>SUM(H29:H35)</f>
        <v>48930352</v>
      </c>
      <c r="J36" s="160">
        <f>SUM(J29:J35)</f>
        <v>34025749</v>
      </c>
    </row>
    <row r="37" spans="1:10" ht="13.5">
      <c r="A37" s="165" t="s">
        <v>149</v>
      </c>
      <c r="B37" s="145">
        <f>'[1]CoCFlow'!Z35</f>
        <v>-644845.3373982124</v>
      </c>
      <c r="D37" s="145">
        <f>'[1]GrpCFlow'!AC39</f>
        <v>-661708.3973982123</v>
      </c>
      <c r="F37" s="145">
        <v>-616400</v>
      </c>
      <c r="H37" s="160">
        <v>-1661658</v>
      </c>
      <c r="J37" s="145">
        <v>-360488</v>
      </c>
    </row>
    <row r="38" spans="1:10" ht="13.5">
      <c r="A38" s="165" t="s">
        <v>150</v>
      </c>
      <c r="B38" s="145">
        <f>'[1]CoCFlow'!AB35</f>
        <v>-5065113.819999999</v>
      </c>
      <c r="D38" s="145">
        <f>'[1]GrpCFlow'!AE39</f>
        <v>-1093834.566201643</v>
      </c>
      <c r="F38" s="145">
        <v>-991166</v>
      </c>
      <c r="H38" s="160">
        <v>-31602199</v>
      </c>
      <c r="J38" s="145">
        <v>-10280179</v>
      </c>
    </row>
    <row r="39" spans="1:10" ht="13.5">
      <c r="A39" s="165" t="s">
        <v>151</v>
      </c>
      <c r="B39" s="167">
        <f>SUM(B36:B38)</f>
        <v>-34652916.09959084</v>
      </c>
      <c r="D39" s="167">
        <f>SUM(D36:D38)</f>
        <v>-24388397.7257961</v>
      </c>
      <c r="F39" s="167">
        <f>SUM(F36:F38)</f>
        <v>-2837166.45</v>
      </c>
      <c r="H39" s="168">
        <f>SUM(H36:H38)</f>
        <v>15666495</v>
      </c>
      <c r="J39" s="168">
        <f>SUM(J36:J38)</f>
        <v>23385082</v>
      </c>
    </row>
    <row r="40" spans="6:8" ht="13.5">
      <c r="F40" s="146"/>
      <c r="H40" s="160"/>
    </row>
    <row r="41" spans="1:8" ht="15">
      <c r="A41" s="169" t="s">
        <v>152</v>
      </c>
      <c r="F41" s="146">
        <v>0</v>
      </c>
      <c r="H41" s="160"/>
    </row>
    <row r="42" spans="1:8" ht="13.5" hidden="1">
      <c r="A42" s="165" t="s">
        <v>153</v>
      </c>
      <c r="D42" s="145">
        <v>0</v>
      </c>
      <c r="F42" s="170">
        <v>0</v>
      </c>
      <c r="H42" s="160"/>
    </row>
    <row r="43" spans="1:10" ht="13.5">
      <c r="A43" s="165" t="s">
        <v>154</v>
      </c>
      <c r="B43" s="145">
        <f>'[1]CoCFlow'!AC35</f>
        <v>11177.53</v>
      </c>
      <c r="D43" s="145">
        <f>'[1]GrpCFlow'!AF39</f>
        <v>11177.53</v>
      </c>
      <c r="F43" s="146">
        <v>168823</v>
      </c>
      <c r="H43" s="160">
        <v>1348268</v>
      </c>
      <c r="J43" s="145">
        <v>545506</v>
      </c>
    </row>
    <row r="44" spans="1:8" ht="13.5" hidden="1">
      <c r="A44" s="165" t="s">
        <v>155</v>
      </c>
      <c r="B44" s="145">
        <f>-B27</f>
        <v>1176948.5</v>
      </c>
      <c r="D44" s="145">
        <f>'[1]GrpCFlow'!AG39</f>
        <v>0</v>
      </c>
      <c r="F44" s="145">
        <v>0</v>
      </c>
      <c r="H44" s="160"/>
    </row>
    <row r="45" spans="1:8" ht="13.5" hidden="1">
      <c r="A45" s="165" t="s">
        <v>156</v>
      </c>
      <c r="B45" s="145">
        <f>+'[1]CoCFlow'!AE35</f>
        <v>10000</v>
      </c>
      <c r="D45" s="145">
        <f>'[1]GrpCFlow'!AH39</f>
        <v>0</v>
      </c>
      <c r="F45" s="145">
        <v>0</v>
      </c>
      <c r="H45" s="160"/>
    </row>
    <row r="46" spans="1:8" ht="13.5" hidden="1">
      <c r="A46" s="165" t="s">
        <v>157</v>
      </c>
      <c r="B46" s="145">
        <f>+'[1]CoCFlow'!AF35</f>
        <v>91000.04</v>
      </c>
      <c r="D46" s="145">
        <f>'[1]GrpCFlow'!AK39</f>
        <v>0</v>
      </c>
      <c r="F46" s="145">
        <v>0</v>
      </c>
      <c r="H46" s="160"/>
    </row>
    <row r="47" spans="1:10" ht="13.5">
      <c r="A47" s="165" t="s">
        <v>158</v>
      </c>
      <c r="B47" s="145">
        <f>+'[1]CoCFlow'!AG35</f>
        <v>0</v>
      </c>
      <c r="D47" s="145">
        <f>'[1]GrpCFlow'!AJ39</f>
        <v>-1091881.9300000023</v>
      </c>
      <c r="F47" s="145">
        <v>0</v>
      </c>
      <c r="H47" s="160">
        <v>-4857737</v>
      </c>
      <c r="J47" s="145">
        <v>-1564821</v>
      </c>
    </row>
    <row r="48" spans="1:8" ht="13.5" hidden="1">
      <c r="A48" s="165" t="s">
        <v>159</v>
      </c>
      <c r="B48" s="145">
        <v>0</v>
      </c>
      <c r="D48" s="145">
        <v>0</v>
      </c>
      <c r="H48" s="160"/>
    </row>
    <row r="49" spans="1:10" ht="13.5">
      <c r="A49" s="165" t="s">
        <v>160</v>
      </c>
      <c r="B49" s="145">
        <f>'[1]CoCFlow'!AK35</f>
        <v>-12567641.950000001</v>
      </c>
      <c r="D49" s="145">
        <f>'[1]GrpCFlow'!AL39</f>
        <v>-1772508</v>
      </c>
      <c r="F49" s="145">
        <v>-2553192</v>
      </c>
      <c r="H49" s="160">
        <v>-75554020</v>
      </c>
      <c r="J49" s="145">
        <v>-12001807</v>
      </c>
    </row>
    <row r="50" spans="1:10" ht="13.5">
      <c r="A50" s="165" t="s">
        <v>161</v>
      </c>
      <c r="B50" s="167">
        <f>SUM(B43:B49)</f>
        <v>-11278515.88</v>
      </c>
      <c r="D50" s="167">
        <f>SUM(D43:D49)</f>
        <v>-2853212.4000000022</v>
      </c>
      <c r="F50" s="167">
        <f>SUM(F43:F49)</f>
        <v>-2384369</v>
      </c>
      <c r="H50" s="168">
        <f>SUM(H43:H49)</f>
        <v>-79063489</v>
      </c>
      <c r="J50" s="168">
        <f>SUM(J43:J49)</f>
        <v>-13021122</v>
      </c>
    </row>
    <row r="51" spans="6:8" ht="13.5">
      <c r="F51" s="146"/>
      <c r="H51" s="160"/>
    </row>
    <row r="52" spans="1:8" ht="15">
      <c r="A52" s="169" t="s">
        <v>162</v>
      </c>
      <c r="F52" s="146"/>
      <c r="H52" s="160"/>
    </row>
    <row r="53" spans="1:8" ht="27">
      <c r="A53" s="171" t="s">
        <v>163</v>
      </c>
      <c r="B53" s="145">
        <f>'[1]CoCFlow'!AJ35</f>
        <v>0</v>
      </c>
      <c r="D53" s="145">
        <f>'[1]GrpCFlow'!AT39</f>
        <v>0</v>
      </c>
      <c r="F53" s="146">
        <v>508234</v>
      </c>
      <c r="H53" s="160"/>
    </row>
    <row r="54" spans="1:8" ht="13.5" hidden="1">
      <c r="A54" s="165" t="s">
        <v>164</v>
      </c>
      <c r="B54" s="145">
        <f>'[1]CoCFlow'!AH35</f>
        <v>0</v>
      </c>
      <c r="F54" s="146">
        <v>0</v>
      </c>
      <c r="H54" s="160"/>
    </row>
    <row r="55" spans="1:8" ht="13.5" hidden="1">
      <c r="A55" s="165" t="s">
        <v>165</v>
      </c>
      <c r="B55" s="145">
        <f>'[1]CoCFlow'!AA35</f>
        <v>0</v>
      </c>
      <c r="D55" s="145">
        <f>'[1]GrpCFlow'!AD34</f>
        <v>0</v>
      </c>
      <c r="H55" s="160">
        <v>15000000</v>
      </c>
    </row>
    <row r="56" spans="1:8" ht="13.5">
      <c r="A56" s="165" t="s">
        <v>166</v>
      </c>
      <c r="B56" s="145">
        <v>0</v>
      </c>
      <c r="D56" s="145">
        <f>'[1]GrpCFlow'!AD33</f>
        <v>-382590.34156</v>
      </c>
      <c r="F56" s="145">
        <v>-735588</v>
      </c>
      <c r="H56" s="160">
        <v>-4812120</v>
      </c>
    </row>
    <row r="57" spans="1:10" ht="13.5">
      <c r="A57" s="165" t="s">
        <v>167</v>
      </c>
      <c r="B57" s="145">
        <f>'[1]CoCFlow'!AI35</f>
        <v>-6336000</v>
      </c>
      <c r="D57" s="145">
        <f>'[1]GrpCFlow'!AS39-0.24</f>
        <v>-1613172.0899999996</v>
      </c>
      <c r="F57" s="145">
        <v>-2080332</v>
      </c>
      <c r="H57" s="160">
        <v>-4916668</v>
      </c>
      <c r="J57" s="145">
        <v>-1041667</v>
      </c>
    </row>
    <row r="58" spans="1:10" ht="13.5">
      <c r="A58" s="165" t="s">
        <v>168</v>
      </c>
      <c r="B58" s="167">
        <f>SUM(B53:B57)</f>
        <v>-6336000</v>
      </c>
      <c r="D58" s="167">
        <f>SUM(D53:D57)</f>
        <v>-1995762.4315599995</v>
      </c>
      <c r="F58" s="167">
        <f>SUM(F53:F57)</f>
        <v>-2307686</v>
      </c>
      <c r="H58" s="168">
        <f>SUM(H55:H57)</f>
        <v>5271212</v>
      </c>
      <c r="J58" s="168">
        <f>SUM(J55:J57)</f>
        <v>-1041667</v>
      </c>
    </row>
    <row r="59" ht="13.5">
      <c r="H59" s="160"/>
    </row>
    <row r="60" ht="13.5">
      <c r="H60" s="160"/>
    </row>
    <row r="61" spans="1:14" ht="35.25" customHeight="1">
      <c r="A61" s="172" t="s">
        <v>169</v>
      </c>
      <c r="B61" s="145">
        <f>B39+B50+B58</f>
        <v>-52267431.97959084</v>
      </c>
      <c r="D61" s="145">
        <f>D39+D50+D58</f>
        <v>-29237372.5573561</v>
      </c>
      <c r="F61" s="145">
        <f>F39+F50+F58</f>
        <v>-7529221.45</v>
      </c>
      <c r="H61" s="160">
        <f>H39+H50+H58</f>
        <v>-58125782</v>
      </c>
      <c r="J61" s="160">
        <f>J39+J50+J58</f>
        <v>9322293</v>
      </c>
      <c r="N61" s="161"/>
    </row>
    <row r="62" spans="1:10" ht="34.5" customHeight="1">
      <c r="A62" s="173" t="s">
        <v>170</v>
      </c>
      <c r="B62" s="145">
        <f>'[1]CoCFlow'!B6+'[1]CoCFlow'!B7</f>
        <v>20047235</v>
      </c>
      <c r="D62" s="145">
        <f>'[1]GrpCFlow'!B14+'[1]GrpCFlow'!B6+'[1]GrpCFlow'!B7</f>
        <v>15975350.849</v>
      </c>
      <c r="F62" s="146">
        <v>25571253</v>
      </c>
      <c r="H62" s="160">
        <v>65176467</v>
      </c>
      <c r="J62" s="145">
        <v>65176467</v>
      </c>
    </row>
    <row r="63" spans="1:10" ht="32.25" customHeight="1" thickBot="1">
      <c r="A63" s="174" t="s">
        <v>171</v>
      </c>
      <c r="B63" s="175">
        <f>SUM(B61:B62)</f>
        <v>-32220196.97959084</v>
      </c>
      <c r="D63" s="175">
        <f>SUM(D61:D62)</f>
        <v>-13262021.708356101</v>
      </c>
      <c r="F63" s="175">
        <f>SUM(F61:F62)</f>
        <v>18042031.55</v>
      </c>
      <c r="H63" s="176">
        <f>SUM(H61:H62)</f>
        <v>7050685</v>
      </c>
      <c r="J63" s="176">
        <f>SUM(J61:J62)</f>
        <v>74498760</v>
      </c>
    </row>
    <row r="64" ht="13.5">
      <c r="H64" s="145"/>
    </row>
    <row r="65" spans="1:8" ht="15">
      <c r="A65" s="144" t="s">
        <v>172</v>
      </c>
      <c r="H65" s="145"/>
    </row>
    <row r="66" spans="1:10" ht="13.5">
      <c r="A66" s="147" t="s">
        <v>173</v>
      </c>
      <c r="B66" s="145">
        <f>'[1]CoCFlow'!C6</f>
        <v>0</v>
      </c>
      <c r="D66" s="145">
        <f>'[1]GrpCFlow'!C6</f>
        <v>3264527.1399999997</v>
      </c>
      <c r="F66" s="146">
        <v>16112557</v>
      </c>
      <c r="H66" s="145">
        <v>11277701</v>
      </c>
      <c r="J66" s="145">
        <v>13189456</v>
      </c>
    </row>
    <row r="67" spans="1:10" ht="13.5">
      <c r="A67" s="147" t="s">
        <v>174</v>
      </c>
      <c r="B67" s="145">
        <f>'[1]CoCFlow'!C7</f>
        <v>-3.725290076417309E-10</v>
      </c>
      <c r="D67" s="145">
        <f>'[1]GrpCFlow'!C7</f>
        <v>578999.9999999997</v>
      </c>
      <c r="F67" s="146">
        <v>1929475</v>
      </c>
      <c r="H67" s="145">
        <v>3285163</v>
      </c>
      <c r="J67" s="145">
        <v>62650053</v>
      </c>
    </row>
    <row r="68" spans="1:10" ht="13.5">
      <c r="A68" s="147" t="s">
        <v>37</v>
      </c>
      <c r="B68" s="145">
        <f>-'[1]BlnSht(D)'!F37</f>
        <v>-17105548.850999996</v>
      </c>
      <c r="D68" s="145">
        <f>'[1]GrpCFlow'!C14</f>
        <v>-17105548.850999996</v>
      </c>
      <c r="F68" s="145">
        <v>0</v>
      </c>
      <c r="H68" s="145">
        <v>-1000278</v>
      </c>
      <c r="J68" s="145">
        <v>-1297453</v>
      </c>
    </row>
    <row r="69" spans="2:10" ht="14.25" thickBot="1">
      <c r="B69" s="175">
        <f>SUM(B66:B68)</f>
        <v>-17105548.850999996</v>
      </c>
      <c r="D69" s="175">
        <f>SUM(D66:D68)</f>
        <v>-13262021.710999997</v>
      </c>
      <c r="F69" s="175">
        <f>SUM(F66:F68)</f>
        <v>18042032</v>
      </c>
      <c r="H69" s="175">
        <v>13562586</v>
      </c>
      <c r="J69" s="175">
        <f>SUM(J66:J68)</f>
        <v>74542056</v>
      </c>
    </row>
    <row r="70" spans="2:8" ht="13.5" hidden="1">
      <c r="B70" s="145">
        <f>B69-B63</f>
        <v>15114648.128590845</v>
      </c>
      <c r="D70" s="145">
        <f>D69-D63</f>
        <v>-0.0026438962668180466</v>
      </c>
      <c r="H70" s="177">
        <f>H63-H69</f>
        <v>-6511901</v>
      </c>
    </row>
    <row r="71" spans="4:8" ht="13.5">
      <c r="D71" s="177"/>
      <c r="F71" s="146"/>
      <c r="H71" s="177"/>
    </row>
    <row r="72" spans="2:8" ht="13.5">
      <c r="B72" s="145">
        <f>+B69-B63</f>
        <v>15114648.128590845</v>
      </c>
      <c r="D72" s="177">
        <f>+D63-D69</f>
        <v>0.0026438962668180466</v>
      </c>
      <c r="F72" s="177"/>
      <c r="H72" s="177"/>
    </row>
    <row r="73" spans="1:9" ht="13.5">
      <c r="A73" s="146"/>
      <c r="B73" s="146"/>
      <c r="D73" s="146"/>
      <c r="E73" s="146"/>
      <c r="F73" s="146"/>
      <c r="G73" s="146"/>
      <c r="H73" s="145" t="s">
        <v>175</v>
      </c>
      <c r="I73" s="145"/>
    </row>
    <row r="74" spans="1:9" ht="13.5">
      <c r="A74" s="146"/>
      <c r="B74" s="146"/>
      <c r="D74" s="146"/>
      <c r="E74" s="146"/>
      <c r="F74" s="146"/>
      <c r="G74" s="146"/>
      <c r="H74" s="145">
        <v>52696</v>
      </c>
      <c r="I74" s="145"/>
    </row>
    <row r="75" spans="1:9" ht="13.5">
      <c r="A75" s="146"/>
      <c r="B75" s="146"/>
      <c r="D75" s="146"/>
      <c r="E75" s="146"/>
      <c r="F75" s="146"/>
      <c r="G75" s="146"/>
      <c r="H75" s="145">
        <v>46858</v>
      </c>
      <c r="I75" s="145"/>
    </row>
    <row r="76" spans="1:9" ht="13.5">
      <c r="A76" s="146"/>
      <c r="B76" s="146">
        <f>+B72+'[1]CoCFlow'!AL38</f>
        <v>-4833648.067999981</v>
      </c>
      <c r="D76" s="146"/>
      <c r="E76" s="146"/>
      <c r="F76" s="146"/>
      <c r="G76" s="146"/>
      <c r="H76" s="145">
        <v>0</v>
      </c>
      <c r="I76" s="145"/>
    </row>
    <row r="77" spans="1:9" ht="13.5">
      <c r="A77" s="146"/>
      <c r="B77" s="146"/>
      <c r="D77" s="146"/>
      <c r="E77" s="146"/>
      <c r="F77" s="146"/>
      <c r="G77" s="146"/>
      <c r="H77" s="145">
        <v>0</v>
      </c>
      <c r="I77" s="145"/>
    </row>
    <row r="78" spans="1:9" ht="13.5">
      <c r="A78" s="146"/>
      <c r="B78" s="146"/>
      <c r="D78" s="146"/>
      <c r="E78" s="146"/>
      <c r="F78" s="146"/>
      <c r="G78" s="146"/>
      <c r="H78" s="145">
        <v>0</v>
      </c>
      <c r="I78" s="145"/>
    </row>
    <row r="79" spans="1:9" ht="13.5">
      <c r="A79" s="146"/>
      <c r="B79" s="146"/>
      <c r="D79" s="146"/>
      <c r="E79" s="146"/>
      <c r="F79" s="146"/>
      <c r="G79" s="146"/>
      <c r="H79" s="145">
        <v>0</v>
      </c>
      <c r="I79" s="145"/>
    </row>
    <row r="80" spans="1:9" ht="13.5">
      <c r="A80" s="146"/>
      <c r="B80" s="146"/>
      <c r="D80" s="146"/>
      <c r="E80" s="146"/>
      <c r="F80" s="146"/>
      <c r="G80" s="146"/>
      <c r="H80" s="145">
        <v>0</v>
      </c>
      <c r="I80" s="145"/>
    </row>
    <row r="81" spans="1:9" ht="13.5">
      <c r="A81" s="146"/>
      <c r="B81" s="146"/>
      <c r="D81" s="146"/>
      <c r="E81" s="146"/>
      <c r="F81" s="146"/>
      <c r="G81" s="146"/>
      <c r="H81" s="145">
        <v>99554</v>
      </c>
      <c r="I81" s="145"/>
    </row>
    <row r="82" spans="1:9" ht="13.5">
      <c r="A82" s="146"/>
      <c r="B82" s="146"/>
      <c r="D82" s="146"/>
      <c r="E82" s="146"/>
      <c r="F82" s="146"/>
      <c r="G82" s="146"/>
      <c r="H82" s="145"/>
      <c r="I82" s="145"/>
    </row>
    <row r="83" spans="1:9" ht="13.5">
      <c r="A83" s="146"/>
      <c r="B83" s="146"/>
      <c r="D83" s="146"/>
      <c r="E83" s="146"/>
      <c r="F83" s="146"/>
      <c r="G83" s="146"/>
      <c r="H83" s="145"/>
      <c r="I83" s="145"/>
    </row>
    <row r="84" spans="1:9" ht="13.5">
      <c r="A84" s="146"/>
      <c r="B84" s="146"/>
      <c r="D84" s="146"/>
      <c r="E84" s="146"/>
      <c r="F84" s="146"/>
      <c r="G84" s="146"/>
      <c r="H84" s="145"/>
      <c r="I84" s="145"/>
    </row>
    <row r="85" spans="1:9" ht="13.5">
      <c r="A85" s="146"/>
      <c r="B85" s="146"/>
      <c r="D85" s="146"/>
      <c r="E85" s="146"/>
      <c r="F85" s="146"/>
      <c r="G85" s="146"/>
      <c r="H85" s="145"/>
      <c r="I85" s="145"/>
    </row>
    <row r="86" spans="1:9" ht="13.5">
      <c r="A86" s="146"/>
      <c r="B86" s="146"/>
      <c r="D86" s="146"/>
      <c r="E86" s="146"/>
      <c r="F86" s="146"/>
      <c r="G86" s="146"/>
      <c r="H86" s="145"/>
      <c r="I86" s="145"/>
    </row>
    <row r="87" spans="1:9" ht="13.5">
      <c r="A87" s="146"/>
      <c r="B87" s="146"/>
      <c r="D87" s="146"/>
      <c r="E87" s="146"/>
      <c r="F87" s="146"/>
      <c r="G87" s="146"/>
      <c r="H87" s="145"/>
      <c r="I87" s="145"/>
    </row>
    <row r="88" spans="1:9" ht="13.5">
      <c r="A88" s="146"/>
      <c r="B88" s="146"/>
      <c r="D88" s="146"/>
      <c r="E88" s="146"/>
      <c r="F88" s="146"/>
      <c r="G88" s="146"/>
      <c r="H88" s="145"/>
      <c r="I88" s="145"/>
    </row>
    <row r="89" spans="1:9" ht="13.5">
      <c r="A89" s="146"/>
      <c r="B89" s="146"/>
      <c r="D89" s="146"/>
      <c r="E89" s="146"/>
      <c r="F89" s="146"/>
      <c r="G89" s="146"/>
      <c r="H89" s="145"/>
      <c r="I89" s="145"/>
    </row>
    <row r="90" spans="1:9" ht="13.5">
      <c r="A90" s="146"/>
      <c r="B90" s="146"/>
      <c r="D90" s="146"/>
      <c r="E90" s="146"/>
      <c r="F90" s="146"/>
      <c r="G90" s="146"/>
      <c r="H90" s="145"/>
      <c r="I90" s="145"/>
    </row>
    <row r="91" spans="1:9" ht="13.5">
      <c r="A91" s="146"/>
      <c r="B91" s="146"/>
      <c r="D91" s="146"/>
      <c r="E91" s="146"/>
      <c r="F91" s="146"/>
      <c r="G91" s="146"/>
      <c r="H91" s="145"/>
      <c r="I91" s="145"/>
    </row>
    <row r="92" spans="1:9" ht="13.5">
      <c r="A92" s="146"/>
      <c r="B92" s="146"/>
      <c r="D92" s="146"/>
      <c r="E92" s="146"/>
      <c r="F92" s="146"/>
      <c r="G92" s="146"/>
      <c r="H92" s="145"/>
      <c r="I92" s="145"/>
    </row>
    <row r="93" spans="1:9" ht="13.5">
      <c r="A93" s="146"/>
      <c r="B93" s="146"/>
      <c r="D93" s="146"/>
      <c r="E93" s="146"/>
      <c r="F93" s="146"/>
      <c r="G93" s="146"/>
      <c r="H93" s="145"/>
      <c r="I93" s="145"/>
    </row>
    <row r="94" spans="1:9" ht="13.5">
      <c r="A94" s="146"/>
      <c r="B94" s="146"/>
      <c r="D94" s="146"/>
      <c r="E94" s="146"/>
      <c r="F94" s="146"/>
      <c r="G94" s="146"/>
      <c r="H94" s="145"/>
      <c r="I94" s="145"/>
    </row>
    <row r="95" spans="1:9" ht="13.5">
      <c r="A95" s="146"/>
      <c r="B95" s="146"/>
      <c r="D95" s="146"/>
      <c r="E95" s="146"/>
      <c r="F95" s="146"/>
      <c r="G95" s="146"/>
      <c r="H95" s="145"/>
      <c r="I95" s="145"/>
    </row>
    <row r="96" spans="1:7" ht="13.5">
      <c r="A96" s="148"/>
      <c r="B96" s="146"/>
      <c r="D96" s="146"/>
      <c r="E96" s="146"/>
      <c r="F96" s="146"/>
      <c r="G96" s="146"/>
    </row>
    <row r="97" spans="1:7" ht="13.5">
      <c r="A97" s="148"/>
      <c r="B97" s="146"/>
      <c r="D97" s="146"/>
      <c r="E97" s="146"/>
      <c r="F97" s="146"/>
      <c r="G97" s="146"/>
    </row>
    <row r="98" spans="1:7" ht="13.5">
      <c r="A98" s="148"/>
      <c r="B98" s="146"/>
      <c r="D98" s="146"/>
      <c r="E98" s="146"/>
      <c r="F98" s="146"/>
      <c r="G98" s="146"/>
    </row>
    <row r="99" spans="1:7" ht="13.5">
      <c r="A99" s="148"/>
      <c r="B99" s="146"/>
      <c r="D99" s="146"/>
      <c r="E99" s="146"/>
      <c r="F99" s="146"/>
      <c r="G99" s="146"/>
    </row>
    <row r="100" ht="13.5">
      <c r="F100" s="146"/>
    </row>
    <row r="101" ht="13.5">
      <c r="F101" s="146"/>
    </row>
    <row r="102" ht="13.5">
      <c r="F102" s="146"/>
    </row>
    <row r="103" ht="13.5">
      <c r="F103" s="146"/>
    </row>
  </sheetData>
  <printOptions horizontalCentered="1"/>
  <pageMargins left="0.5" right="0.5" top="0.66" bottom="0.67" header="0.34" footer="0.25"/>
  <pageSetup horizontalDpi="600" verticalDpi="600" orientation="portrait" paperSize="9" scale="85" r:id="rId1"/>
  <headerFooter alignWithMargins="0">
    <oddHeader>&amp;R&amp;"Arial,Bold"&amp;10Appendix 1E</oddHeader>
    <oddFooter>&amp;C&amp;"Book Antiqua,Bold Italic"&amp;10The Condensed Consolidated Cash Flow Statement should be read in conjunction with the Audited Accounts for the year ended 31/12/2005. The document forms part of quarterly announcement for quarter ended 31/3/2006</oddFooter>
  </headerFooter>
  <rowBreaks count="1" manualBreakCount="1"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Heitech Padu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hariati</dc:creator>
  <cp:keywords/>
  <dc:description/>
  <cp:lastModifiedBy>hariati</cp:lastModifiedBy>
  <dcterms:created xsi:type="dcterms:W3CDTF">2006-05-23T08:45:50Z</dcterms:created>
  <dcterms:modified xsi:type="dcterms:W3CDTF">2006-05-26T08:42:30Z</dcterms:modified>
  <cp:category/>
  <cp:version/>
  <cp:contentType/>
  <cp:contentStatus/>
</cp:coreProperties>
</file>